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ThisWorkbook" defaultThemeVersion="124226"/>
  <bookViews>
    <workbookView xWindow="120" yWindow="15" windowWidth="23940" windowHeight="8460" tabRatio="957"/>
  </bookViews>
  <sheets>
    <sheet name="Feuille saisie commune" sheetId="1" r:id="rId1"/>
    <sheet name="Saisie 2_bovins" sheetId="2" r:id="rId2"/>
    <sheet name="Calculs_bovins" sheetId="5" state="hidden" r:id="rId3"/>
    <sheet name="param_bovins" sheetId="3" state="hidden" r:id="rId4"/>
    <sheet name="Porc (Effectif détaillé)" sheetId="7" r:id="rId5"/>
    <sheet name="Porc (Effluents)" sheetId="9" r:id="rId6"/>
    <sheet name="Porc (Aliments)" sheetId="14" r:id="rId7"/>
    <sheet name="Param_porcs" sheetId="6" state="hidden" r:id="rId8"/>
    <sheet name="Simple Avi" sheetId="19" r:id="rId9"/>
    <sheet name="Effectif Avi" sheetId="20" r:id="rId10"/>
    <sheet name="Alim Avi" sheetId="21" r:id="rId11"/>
    <sheet name="Excretion Avi" sheetId="22" r:id="rId12"/>
    <sheet name="Résultats" sheetId="4" r:id="rId13"/>
    <sheet name="Param_volailles" sheetId="13" state="hidden" r:id="rId14"/>
  </sheets>
  <externalReferences>
    <externalReference r:id="rId15"/>
    <externalReference r:id="rId16"/>
    <externalReference r:id="rId17"/>
  </externalReferences>
  <definedNames>
    <definedName name="a">Résultats!#REF!</definedName>
    <definedName name="Al">Param_porcs!$B$353:$B$355</definedName>
    <definedName name="b">Résultats!#REF!</definedName>
    <definedName name="BRS">Param_porcs!$A$24:$A$26</definedName>
    <definedName name="Catégorie_animaux">param_bovins!$A$5:$A$12</definedName>
    <definedName name="Catégorie_porc">Param_porcs!$A$8:$A$10</definedName>
    <definedName name="Couverture">Param_porcs!$B$309:$B$310</definedName>
    <definedName name="d">Résultats!#REF!</definedName>
    <definedName name="Dil_lisier">'Porc (Effluents)'!$K$6:$K$12</definedName>
    <definedName name="e">Param_porcs!$B$340:$B$342</definedName>
    <definedName name="efflu">Param_volailles!#REF!</definedName>
    <definedName name="espèce">Param_volailles!#REF!</definedName>
    <definedName name="especes">Param_volailles!$A$58:$A$62</definedName>
    <definedName name="Fo">Param_porcs!$B$345:$B$350</definedName>
    <definedName name="Fosse_couverture">param_bovins!$A$163:$A$164</definedName>
    <definedName name="Fosses_couverture">param_bovins!$A$163:$A$164</definedName>
    <definedName name="Fourrage_E">param_bovins!$A$143:$A$146</definedName>
    <definedName name="Fourrage_G">param_bovins!$A$126:$A$128</definedName>
    <definedName name="Fourrage_VA">param_bovins!$A$78:$A$81</definedName>
    <definedName name="Fu">Param_porcs!$A$340:$A$342</definedName>
    <definedName name="liste">Résultats!#REF!</definedName>
    <definedName name="liste1">Résultats!#REF!</definedName>
    <definedName name="liste2">Résultats!#REF!</definedName>
    <definedName name="liste3">Résultats!#REF!</definedName>
    <definedName name="liste4">Résultats!#REF!</definedName>
    <definedName name="liste5">Résultats!#REF!</definedName>
    <definedName name="listec">Résultats!#REF!</definedName>
    <definedName name="listed">Résultats!#REF!</definedName>
    <definedName name="lit">Param_volailles!$A$17:$A$19</definedName>
    <definedName name="liti">[1]Param_volailles!$A$17:$A$19</definedName>
    <definedName name="litiere">[2]Param_volailles!$A$17:$A$19</definedName>
    <definedName name="Litière">'Porc (Effectif détaillé)'!#REF!</definedName>
    <definedName name="mode">'Porc (Effectif détaillé)'!#REF!</definedName>
    <definedName name="Mode_logement">param_bovins!$A$18:$A$24</definedName>
    <definedName name="Modes_logements">param_bovins!$A$18:$A$25</definedName>
    <definedName name="Modes_logts">param_bovins!$A$18:$A$26</definedName>
    <definedName name="OLE_LINK1" localSheetId="3">param_bovins!$J$52</definedName>
    <definedName name="ouinon">Param_volailles!$M$1:$M$2</definedName>
    <definedName name="Ouvrages_stock">Param_porcs!$A$15:$A$20</definedName>
    <definedName name="Ouvrages_stock_autre">Param_porcs!$A$15:$A$20</definedName>
    <definedName name="Pascal">Param_porcs!$J$26</definedName>
    <definedName name="pcle">'Porc (Effectif détaillé)'!#REF!</definedName>
    <definedName name="pclp">'Porc (Effectif détaillé)'!#REF!</definedName>
    <definedName name="pclt">'Porc (Effectif détaillé)'!#REF!</definedName>
    <definedName name="Période">Param_porcs!$B$312:$B$313</definedName>
    <definedName name="Periode_velage">param_bovins!$A$34:$A$35</definedName>
    <definedName name="Période1">Param_porcs!$B$312:$B$314</definedName>
    <definedName name="phase">Param_volailles!$J$2:$J$12</definedName>
    <definedName name="pluie">Param_porcs!$A$281:$A$306</definedName>
    <definedName name="Pluviométrie">param_bovins!$A$197:$A$222</definedName>
    <definedName name="prod">Param_volailles!$B$3:$B$5</definedName>
    <definedName name="production">Param_volailles!#REF!</definedName>
    <definedName name="PV_E">param_bovins!$A$136:$A$138</definedName>
    <definedName name="Qual_lavage">'Porc (Effluents)'!$K$16:$K$18</definedName>
    <definedName name="rien">'Porc (Effluents)'!$E$21</definedName>
    <definedName name="sel_mode">'Porc (Effectif détaillé)'!#REF!</definedName>
    <definedName name="stock">Param_volailles!$C$2:$C$12</definedName>
    <definedName name="typeefflu">'[3]Volailles 2'!$A$3:$A$24</definedName>
    <definedName name="Typevolaille">Param_volailles!#REF!</definedName>
    <definedName name="u">Param_porcs!$B$353:$B$355</definedName>
    <definedName name="Volume_connu">param_bovins!$A$188:$A$189</definedName>
    <definedName name="x">Résultats!#REF!</definedName>
    <definedName name="y">Résultats!#REF!</definedName>
  </definedNames>
  <calcPr calcId="145621"/>
</workbook>
</file>

<file path=xl/calcChain.xml><?xml version="1.0" encoding="utf-8"?>
<calcChain xmlns="http://schemas.openxmlformats.org/spreadsheetml/2006/main">
  <c r="E52" i="7" l="1"/>
  <c r="E51" i="7"/>
  <c r="E50" i="7"/>
  <c r="E49" i="7"/>
  <c r="E11" i="9"/>
  <c r="S10" i="4"/>
  <c r="E60" i="7" l="1"/>
  <c r="E59" i="7"/>
  <c r="E58" i="7"/>
  <c r="E8" i="19"/>
  <c r="G8" i="19" s="1"/>
  <c r="F8" i="19" l="1"/>
  <c r="H8" i="19"/>
  <c r="K14" i="22"/>
  <c r="K15" i="22"/>
  <c r="C20" i="22" s="1"/>
  <c r="G4" i="22"/>
  <c r="F4" i="22"/>
  <c r="E4" i="22"/>
  <c r="D4" i="22"/>
  <c r="B4" i="22"/>
  <c r="C4" i="22" s="1"/>
  <c r="F1" i="19"/>
  <c r="E5" i="20"/>
  <c r="E3" i="20"/>
  <c r="A23" i="20" s="1"/>
  <c r="D14" i="22" s="1"/>
  <c r="A20" i="22" s="1"/>
  <c r="P6" i="19"/>
  <c r="O6" i="19"/>
  <c r="N6" i="19"/>
  <c r="B1" i="19"/>
  <c r="B20" i="19" s="1"/>
  <c r="C19" i="21"/>
  <c r="B3" i="22" s="1"/>
  <c r="M18" i="21"/>
  <c r="K18" i="21"/>
  <c r="J18" i="21"/>
  <c r="I18" i="21"/>
  <c r="H18" i="21"/>
  <c r="G18" i="21"/>
  <c r="F18" i="21"/>
  <c r="E18" i="21"/>
  <c r="D18" i="21"/>
  <c r="B18" i="21"/>
  <c r="L17" i="21"/>
  <c r="M17" i="21" s="1"/>
  <c r="K17" i="21"/>
  <c r="J17" i="21"/>
  <c r="I17" i="21"/>
  <c r="H17" i="21"/>
  <c r="G17" i="21"/>
  <c r="F17" i="21"/>
  <c r="E17" i="21"/>
  <c r="D17" i="21"/>
  <c r="B17" i="21"/>
  <c r="L16" i="21"/>
  <c r="M16" i="21" s="1"/>
  <c r="K16" i="21"/>
  <c r="J16" i="21"/>
  <c r="I16" i="21"/>
  <c r="H16" i="21"/>
  <c r="G16" i="21"/>
  <c r="F16" i="21"/>
  <c r="E16" i="21"/>
  <c r="D16" i="21"/>
  <c r="B16" i="21"/>
  <c r="M15" i="21"/>
  <c r="L15" i="21"/>
  <c r="K15" i="21"/>
  <c r="J15" i="21"/>
  <c r="I15" i="21"/>
  <c r="H15" i="21"/>
  <c r="G15" i="21"/>
  <c r="F15" i="21"/>
  <c r="E15" i="21"/>
  <c r="D15" i="21"/>
  <c r="B15" i="21"/>
  <c r="L14" i="21"/>
  <c r="M14" i="21" s="1"/>
  <c r="K14" i="21"/>
  <c r="J14" i="21"/>
  <c r="I14" i="21"/>
  <c r="H14" i="21"/>
  <c r="G14" i="21"/>
  <c r="F14" i="21"/>
  <c r="E14" i="21"/>
  <c r="D14" i="21"/>
  <c r="B14" i="21"/>
  <c r="L13" i="21"/>
  <c r="K13" i="21"/>
  <c r="J13" i="21"/>
  <c r="J19" i="21" s="1"/>
  <c r="I3" i="22" s="1"/>
  <c r="I13" i="21"/>
  <c r="H13" i="21"/>
  <c r="G13" i="21"/>
  <c r="F13" i="21"/>
  <c r="F19" i="21" s="1"/>
  <c r="E3" i="22" s="1"/>
  <c r="E13" i="21"/>
  <c r="D13" i="21"/>
  <c r="B13" i="21"/>
  <c r="F62" i="13"/>
  <c r="D62" i="13"/>
  <c r="H30" i="20"/>
  <c r="G30" i="20"/>
  <c r="J30" i="20" s="1"/>
  <c r="S6" i="19"/>
  <c r="R6" i="19"/>
  <c r="Q6" i="19"/>
  <c r="L32" i="9"/>
  <c r="K333" i="6"/>
  <c r="K331" i="6"/>
  <c r="C8" i="9"/>
  <c r="C9" i="9"/>
  <c r="C7" i="9"/>
  <c r="B8" i="9"/>
  <c r="G17" i="9" s="1"/>
  <c r="B9" i="9"/>
  <c r="G26" i="9" s="1"/>
  <c r="B7" i="9"/>
  <c r="G16" i="9" s="1"/>
  <c r="H284" i="6"/>
  <c r="G19" i="21" l="1"/>
  <c r="F3" i="22" s="1"/>
  <c r="K19" i="21"/>
  <c r="J3" i="22" s="1"/>
  <c r="D19" i="21"/>
  <c r="H19" i="21"/>
  <c r="G3" i="22" s="1"/>
  <c r="L19" i="21"/>
  <c r="M19" i="21" s="1"/>
  <c r="E19" i="21"/>
  <c r="D3" i="22" s="1"/>
  <c r="I19" i="21"/>
  <c r="H3" i="22" s="1"/>
  <c r="B23" i="20"/>
  <c r="A10" i="22" s="1"/>
  <c r="L15" i="22" s="1"/>
  <c r="M15" i="22" s="1"/>
  <c r="H5" i="22"/>
  <c r="T3" i="22"/>
  <c r="U4" i="22"/>
  <c r="M3" i="22"/>
  <c r="O3" i="22" s="1"/>
  <c r="P4" i="22"/>
  <c r="B5" i="22"/>
  <c r="D5" i="22" s="1"/>
  <c r="D6" i="22" s="1"/>
  <c r="P3" i="22"/>
  <c r="Q4" i="22"/>
  <c r="G5" i="22"/>
  <c r="G6" i="22" s="1"/>
  <c r="S3" i="22"/>
  <c r="T4" i="22"/>
  <c r="E5" i="22"/>
  <c r="E6" i="22" s="1"/>
  <c r="I5" i="22"/>
  <c r="I6" i="22" s="1"/>
  <c r="Q3" i="22"/>
  <c r="U3" i="22"/>
  <c r="U5" i="22" s="1"/>
  <c r="R4" i="22"/>
  <c r="F5" i="22"/>
  <c r="F6" i="22" s="1"/>
  <c r="J5" i="22"/>
  <c r="J6" i="22" s="1"/>
  <c r="R3" i="22"/>
  <c r="M4" i="22"/>
  <c r="N4" i="22" s="1"/>
  <c r="S4" i="22"/>
  <c r="K16" i="22"/>
  <c r="C24" i="22" s="1"/>
  <c r="G6" i="19"/>
  <c r="O5" i="19" s="1"/>
  <c r="K6" i="19"/>
  <c r="S5" i="19" s="1"/>
  <c r="P9" i="19"/>
  <c r="H6" i="19"/>
  <c r="P5" i="19" s="1"/>
  <c r="J7" i="19"/>
  <c r="H5" i="19"/>
  <c r="P7" i="19" s="1"/>
  <c r="F5" i="19"/>
  <c r="N7" i="19" s="1"/>
  <c r="I6" i="19"/>
  <c r="Q5" i="19" s="1"/>
  <c r="G7" i="19"/>
  <c r="K7" i="19"/>
  <c r="N9" i="19"/>
  <c r="R9" i="19"/>
  <c r="J5" i="19"/>
  <c r="R7" i="19" s="1"/>
  <c r="I7" i="19"/>
  <c r="G5" i="19"/>
  <c r="O7" i="19" s="1"/>
  <c r="K5" i="19"/>
  <c r="S7" i="19" s="1"/>
  <c r="F7" i="19"/>
  <c r="Q9" i="19"/>
  <c r="I5" i="19"/>
  <c r="Q7" i="19" s="1"/>
  <c r="F6" i="19"/>
  <c r="N5" i="19" s="1"/>
  <c r="J6" i="19"/>
  <c r="R5" i="19" s="1"/>
  <c r="H7" i="19"/>
  <c r="O9" i="19"/>
  <c r="S9" i="19"/>
  <c r="D15" i="22"/>
  <c r="M13" i="21"/>
  <c r="A8" i="20"/>
  <c r="Q8" i="19"/>
  <c r="X17" i="19"/>
  <c r="A20" i="19"/>
  <c r="A7" i="19"/>
  <c r="N8" i="19"/>
  <c r="R8" i="19"/>
  <c r="A10" i="19"/>
  <c r="P8" i="19"/>
  <c r="O8" i="19"/>
  <c r="S8" i="19"/>
  <c r="G18" i="9"/>
  <c r="G25" i="9"/>
  <c r="G40" i="9"/>
  <c r="G24" i="9"/>
  <c r="G32" i="9"/>
  <c r="G42" i="9"/>
  <c r="G34" i="9"/>
  <c r="G33" i="9"/>
  <c r="G41" i="9"/>
  <c r="H6" i="22" l="1"/>
  <c r="C3" i="22"/>
  <c r="N3" i="22"/>
  <c r="S5" i="22"/>
  <c r="K10" i="22" s="1"/>
  <c r="H14" i="22" s="1"/>
  <c r="H15" i="22" s="1"/>
  <c r="R5" i="22"/>
  <c r="O15" i="22"/>
  <c r="O14" i="22" s="1"/>
  <c r="L14" i="22"/>
  <c r="Q5" i="22"/>
  <c r="I10" i="22" s="1"/>
  <c r="F14" i="22" s="1"/>
  <c r="F15" i="22" s="1"/>
  <c r="T5" i="22"/>
  <c r="L10" i="22" s="1"/>
  <c r="I14" i="22" s="1"/>
  <c r="I15" i="22" s="1"/>
  <c r="B6" i="22"/>
  <c r="N5" i="22"/>
  <c r="O4" i="22"/>
  <c r="O5" i="22" s="1"/>
  <c r="G10" i="22" s="1"/>
  <c r="M10" i="22"/>
  <c r="J14" i="22" s="1"/>
  <c r="J15" i="22" s="1"/>
  <c r="J16" i="22" s="1"/>
  <c r="P5" i="22"/>
  <c r="H10" i="22" s="1"/>
  <c r="E14" i="22" s="1"/>
  <c r="C5" i="22"/>
  <c r="M5" i="22"/>
  <c r="J10" i="22"/>
  <c r="G14" i="22" s="1"/>
  <c r="G15" i="22" s="1"/>
  <c r="B25" i="19"/>
  <c r="B27" i="19"/>
  <c r="B26" i="19"/>
  <c r="D16" i="22"/>
  <c r="A24" i="22"/>
  <c r="E18" i="4" s="1"/>
  <c r="X21" i="19"/>
  <c r="M18" i="19"/>
  <c r="O10" i="19"/>
  <c r="W17" i="19"/>
  <c r="Q10" i="19"/>
  <c r="R10" i="19"/>
  <c r="S10" i="19"/>
  <c r="N10" i="19"/>
  <c r="P10" i="19"/>
  <c r="E186" i="6"/>
  <c r="G18" i="6"/>
  <c r="G17" i="6"/>
  <c r="H25" i="9" s="1"/>
  <c r="G16" i="6"/>
  <c r="C44" i="2"/>
  <c r="C43" i="2"/>
  <c r="C49" i="2" s="1"/>
  <c r="C6" i="22" l="1"/>
  <c r="F10" i="22" s="1"/>
  <c r="E10" i="22"/>
  <c r="C18" i="4"/>
  <c r="I16" i="22"/>
  <c r="F16" i="22"/>
  <c r="O16" i="22"/>
  <c r="E15" i="22"/>
  <c r="E16" i="22"/>
  <c r="H16" i="22"/>
  <c r="G16" i="22"/>
  <c r="B20" i="22"/>
  <c r="M14" i="22"/>
  <c r="M16" i="22" s="1"/>
  <c r="Q11" i="19"/>
  <c r="H17" i="19" s="1"/>
  <c r="S17" i="19" s="1"/>
  <c r="S21" i="19" s="1"/>
  <c r="H18" i="19" s="1"/>
  <c r="K17" i="19"/>
  <c r="L17" i="19"/>
  <c r="S11" i="19"/>
  <c r="J17" i="19" s="1"/>
  <c r="O11" i="19"/>
  <c r="F17" i="19" s="1"/>
  <c r="P11" i="19"/>
  <c r="G17" i="19" s="1"/>
  <c r="R21" i="19" s="1"/>
  <c r="N11" i="19"/>
  <c r="E17" i="19" s="1"/>
  <c r="P17" i="19" s="1"/>
  <c r="R11" i="19"/>
  <c r="I17" i="19" s="1"/>
  <c r="T17" i="19" s="1"/>
  <c r="T21" i="19" s="1"/>
  <c r="I18" i="19" s="1"/>
  <c r="H16" i="9"/>
  <c r="H42" i="9"/>
  <c r="H18" i="9"/>
  <c r="H26" i="9"/>
  <c r="I26" i="9" s="1"/>
  <c r="H34" i="9"/>
  <c r="H33" i="9"/>
  <c r="H17" i="9"/>
  <c r="H41" i="9"/>
  <c r="H24" i="9"/>
  <c r="H40" i="9"/>
  <c r="H32" i="9"/>
  <c r="D15" i="5"/>
  <c r="I363" i="6"/>
  <c r="J363" i="6"/>
  <c r="H363" i="6"/>
  <c r="G363" i="6"/>
  <c r="I360" i="6"/>
  <c r="H360" i="6"/>
  <c r="G360" i="6"/>
  <c r="D16" i="5"/>
  <c r="D12" i="3"/>
  <c r="D9" i="3"/>
  <c r="D8" i="3"/>
  <c r="D7" i="3" s="1"/>
  <c r="D6" i="3"/>
  <c r="D5" i="3"/>
  <c r="L16" i="22" l="1"/>
  <c r="B24" i="22"/>
  <c r="N16" i="22"/>
  <c r="N15" i="22"/>
  <c r="N12" i="19"/>
  <c r="N14" i="22"/>
  <c r="E20" i="22"/>
  <c r="I20" i="22"/>
  <c r="G20" i="22"/>
  <c r="D20" i="22"/>
  <c r="J20" i="22"/>
  <c r="H20" i="22"/>
  <c r="F20" i="22"/>
  <c r="K20" i="22"/>
  <c r="Q21" i="19"/>
  <c r="Q17" i="19"/>
  <c r="O12" i="19"/>
  <c r="V21" i="19"/>
  <c r="U21" i="19"/>
  <c r="U17" i="19"/>
  <c r="R17" i="19"/>
  <c r="G18" i="19" s="1"/>
  <c r="R12" i="19"/>
  <c r="P12" i="19"/>
  <c r="V17" i="19"/>
  <c r="S12" i="19"/>
  <c r="Q12" i="19"/>
  <c r="C59" i="7"/>
  <c r="C50" i="7"/>
  <c r="C52" i="7"/>
  <c r="I40" i="9" s="1"/>
  <c r="I340" i="6"/>
  <c r="L342" i="6"/>
  <c r="M342" i="6" s="1"/>
  <c r="L341" i="6"/>
  <c r="M341" i="6" s="1"/>
  <c r="L340" i="6"/>
  <c r="M340" i="6" s="1"/>
  <c r="I342" i="6"/>
  <c r="I341" i="6"/>
  <c r="E269" i="6"/>
  <c r="D18" i="4" l="1"/>
  <c r="F18" i="4" s="1"/>
  <c r="O18" i="4" s="1"/>
  <c r="D24" i="22"/>
  <c r="E24" i="22"/>
  <c r="H24" i="22"/>
  <c r="G24" i="22"/>
  <c r="I24" i="22"/>
  <c r="K24" i="22"/>
  <c r="J24" i="22"/>
  <c r="F24" i="22"/>
  <c r="J18" i="19"/>
  <c r="F18" i="19"/>
  <c r="Y17" i="19"/>
  <c r="P21" i="19"/>
  <c r="E18" i="19" s="1"/>
  <c r="W21" i="19"/>
  <c r="L18" i="19" s="1"/>
  <c r="K18" i="19"/>
  <c r="W71" i="7"/>
  <c r="M71" i="7"/>
  <c r="Y63" i="7"/>
  <c r="S64" i="7"/>
  <c r="T71" i="7"/>
  <c r="V71" i="7"/>
  <c r="Z71" i="7"/>
  <c r="P70" i="7"/>
  <c r="Q70" i="7"/>
  <c r="S70" i="7"/>
  <c r="T70" i="7"/>
  <c r="Z70" i="7"/>
  <c r="Q64" i="7"/>
  <c r="S71" i="7"/>
  <c r="W64" i="7"/>
  <c r="Y71" i="7"/>
  <c r="N64" i="7"/>
  <c r="Z63" i="7"/>
  <c r="P64" i="7"/>
  <c r="Q71" i="7"/>
  <c r="V64" i="7"/>
  <c r="Z64" i="7"/>
  <c r="M64" i="7"/>
  <c r="N71" i="7"/>
  <c r="P63" i="7"/>
  <c r="Q63" i="7"/>
  <c r="S63" i="7"/>
  <c r="T63" i="7"/>
  <c r="Y70" i="7"/>
  <c r="P71" i="7"/>
  <c r="T64" i="7"/>
  <c r="Y64" i="7"/>
  <c r="K71" i="7"/>
  <c r="K64" i="7"/>
  <c r="J71" i="7"/>
  <c r="J64" i="7"/>
  <c r="E227" i="6"/>
  <c r="E145" i="6"/>
  <c r="D313" i="6"/>
  <c r="D312" i="6"/>
  <c r="K47" i="2"/>
  <c r="C53" i="2"/>
  <c r="C54" i="2" s="1"/>
  <c r="I42" i="3"/>
  <c r="H42" i="3"/>
  <c r="G42" i="3"/>
  <c r="B42" i="3"/>
  <c r="F6" i="2"/>
  <c r="G18" i="4" l="1"/>
  <c r="P18" i="4" s="1"/>
  <c r="M18" i="4"/>
  <c r="L18" i="4"/>
  <c r="N18" i="4"/>
  <c r="H18" i="4"/>
  <c r="Q18" i="4" s="1"/>
  <c r="R18" i="4"/>
  <c r="I18" i="4"/>
  <c r="J18" i="4" s="1"/>
  <c r="S18" i="4" s="1"/>
  <c r="U18" i="4"/>
  <c r="T18" i="4"/>
  <c r="K18" i="4"/>
  <c r="Y21" i="19"/>
  <c r="N18" i="19" s="1"/>
  <c r="A354" i="6"/>
  <c r="A355" i="6"/>
  <c r="A353" i="6"/>
  <c r="A350" i="6"/>
  <c r="A351" i="6"/>
  <c r="A349" i="6"/>
  <c r="D22" i="9"/>
  <c r="F341" i="6" l="1"/>
  <c r="C22" i="9"/>
  <c r="A346" i="6"/>
  <c r="D41" i="7"/>
  <c r="C41" i="7"/>
  <c r="D52" i="7"/>
  <c r="I24" i="9" l="1"/>
  <c r="S69" i="7"/>
  <c r="T62" i="7"/>
  <c r="S62" i="7"/>
  <c r="T69" i="7"/>
  <c r="I16" i="9"/>
  <c r="I41" i="9"/>
  <c r="I33" i="9"/>
  <c r="I42" i="9"/>
  <c r="I17" i="9"/>
  <c r="I18" i="9"/>
  <c r="Q62" i="7"/>
  <c r="P62" i="7"/>
  <c r="Q69" i="7"/>
  <c r="P69" i="7"/>
  <c r="D60" i="7" l="1"/>
  <c r="C60" i="7"/>
  <c r="D59" i="7"/>
  <c r="D58" i="7"/>
  <c r="C58" i="7"/>
  <c r="F54" i="7"/>
  <c r="I54" i="7" s="1"/>
  <c r="D53" i="7"/>
  <c r="C53" i="7"/>
  <c r="D51" i="7"/>
  <c r="C51" i="7"/>
  <c r="D50" i="7"/>
  <c r="I50" i="7" s="1"/>
  <c r="D49" i="7"/>
  <c r="C49" i="7"/>
  <c r="F44" i="7"/>
  <c r="E44" i="7"/>
  <c r="D44" i="7"/>
  <c r="C44" i="7"/>
  <c r="F43" i="7"/>
  <c r="E43" i="7"/>
  <c r="D43" i="7"/>
  <c r="L25" i="9" s="1"/>
  <c r="L26" i="9" s="1"/>
  <c r="C43" i="7"/>
  <c r="F42" i="7"/>
  <c r="E42" i="7"/>
  <c r="D42" i="7"/>
  <c r="C42" i="7"/>
  <c r="F41" i="7"/>
  <c r="E41" i="7"/>
  <c r="H49" i="7"/>
  <c r="H50" i="7"/>
  <c r="H51" i="7"/>
  <c r="H52" i="7"/>
  <c r="H53" i="7"/>
  <c r="H54" i="7"/>
  <c r="V63" i="7" l="1"/>
  <c r="V70" i="7"/>
  <c r="W70" i="7"/>
  <c r="I25" i="9"/>
  <c r="I34" i="9"/>
  <c r="W63" i="7"/>
  <c r="M69" i="7"/>
  <c r="N69" i="7"/>
  <c r="M62" i="7"/>
  <c r="N62" i="7"/>
  <c r="N63" i="7"/>
  <c r="M63" i="7"/>
  <c r="N70" i="7"/>
  <c r="M70" i="7"/>
  <c r="M28" i="9"/>
  <c r="M22" i="9"/>
  <c r="M25" i="9"/>
  <c r="J63" i="7"/>
  <c r="K63" i="7"/>
  <c r="K70" i="7"/>
  <c r="J70" i="7"/>
  <c r="L22" i="9"/>
  <c r="L28" i="9"/>
  <c r="I32" i="9"/>
  <c r="J62" i="7"/>
  <c r="J69" i="7"/>
  <c r="K62" i="7"/>
  <c r="K69" i="7"/>
  <c r="I51" i="7"/>
  <c r="F50" i="7"/>
  <c r="F53" i="7"/>
  <c r="F52" i="7"/>
  <c r="F51" i="7"/>
  <c r="I53" i="7"/>
  <c r="I52" i="7"/>
  <c r="F179" i="6" s="1"/>
  <c r="F49" i="7"/>
  <c r="I49" i="7"/>
  <c r="F138" i="6" l="1"/>
  <c r="F262" i="6"/>
  <c r="F220" i="6"/>
  <c r="I55" i="7"/>
  <c r="F17" i="7" l="1"/>
  <c r="F16" i="7"/>
  <c r="F15" i="7"/>
  <c r="H326" i="6"/>
  <c r="H290" i="6" l="1"/>
  <c r="H289" i="6"/>
  <c r="H283" i="6"/>
  <c r="B18" i="4" l="1"/>
  <c r="E10" i="4" l="1"/>
  <c r="M10" i="4"/>
  <c r="N10" i="4"/>
  <c r="V10" i="4"/>
  <c r="W10" i="4"/>
  <c r="E11" i="4"/>
  <c r="M11" i="4"/>
  <c r="N11" i="4"/>
  <c r="S11" i="4"/>
  <c r="V11" i="4"/>
  <c r="W11" i="4"/>
  <c r="D451" i="5" l="1"/>
  <c r="D461" i="5" s="1"/>
  <c r="E682" i="5"/>
  <c r="F682" i="5"/>
  <c r="G682" i="5"/>
  <c r="H682" i="5"/>
  <c r="I682" i="5"/>
  <c r="J682" i="5"/>
  <c r="K682" i="5"/>
  <c r="L682" i="5"/>
  <c r="M682" i="5"/>
  <c r="N682" i="5"/>
  <c r="O682" i="5"/>
  <c r="D682" i="5"/>
  <c r="E681" i="5"/>
  <c r="F681" i="5"/>
  <c r="G681" i="5"/>
  <c r="H681" i="5"/>
  <c r="I681" i="5"/>
  <c r="J681" i="5"/>
  <c r="K681" i="5"/>
  <c r="L681" i="5"/>
  <c r="M681" i="5"/>
  <c r="N681" i="5"/>
  <c r="O681" i="5"/>
  <c r="D681" i="5"/>
  <c r="J105" i="3"/>
  <c r="K105" i="3"/>
  <c r="L105" i="3"/>
  <c r="M105" i="3"/>
  <c r="J106" i="3"/>
  <c r="K106" i="3"/>
  <c r="L106" i="3"/>
  <c r="M106" i="3"/>
  <c r="L66" i="3"/>
  <c r="L110" i="3" s="1"/>
  <c r="M66" i="3"/>
  <c r="M110" i="3" s="1"/>
  <c r="L67" i="3"/>
  <c r="L111" i="3" s="1"/>
  <c r="M67" i="3"/>
  <c r="M111" i="3" s="1"/>
  <c r="L68" i="3"/>
  <c r="L112" i="3" s="1"/>
  <c r="M68" i="3"/>
  <c r="M112" i="3" s="1"/>
  <c r="L69" i="3"/>
  <c r="L113" i="3" s="1"/>
  <c r="M69" i="3"/>
  <c r="M113" i="3" s="1"/>
  <c r="L70" i="3"/>
  <c r="L114" i="3" s="1"/>
  <c r="M70" i="3"/>
  <c r="M114" i="3" s="1"/>
  <c r="L71" i="3"/>
  <c r="L115" i="3" s="1"/>
  <c r="M71" i="3"/>
  <c r="M115" i="3" s="1"/>
  <c r="M65" i="3"/>
  <c r="M109" i="3" s="1"/>
  <c r="L65" i="3"/>
  <c r="L109" i="3" s="1"/>
  <c r="J66" i="3"/>
  <c r="J110" i="3" s="1"/>
  <c r="K66" i="3"/>
  <c r="K110" i="3" s="1"/>
  <c r="J67" i="3"/>
  <c r="J111" i="3" s="1"/>
  <c r="K67" i="3"/>
  <c r="K111" i="3" s="1"/>
  <c r="J68" i="3"/>
  <c r="J112" i="3" s="1"/>
  <c r="K68" i="3"/>
  <c r="K112" i="3" s="1"/>
  <c r="J69" i="3"/>
  <c r="J113" i="3" s="1"/>
  <c r="K69" i="3"/>
  <c r="K113" i="3" s="1"/>
  <c r="J70" i="3"/>
  <c r="J114" i="3" s="1"/>
  <c r="K70" i="3"/>
  <c r="K114" i="3" s="1"/>
  <c r="J71" i="3"/>
  <c r="J115" i="3" s="1"/>
  <c r="K71" i="3"/>
  <c r="K115" i="3" s="1"/>
  <c r="K65" i="3"/>
  <c r="K109" i="3" s="1"/>
  <c r="J65" i="3"/>
  <c r="J109" i="3" s="1"/>
  <c r="D225" i="5"/>
  <c r="C51" i="2"/>
  <c r="D670" i="5" l="1"/>
  <c r="D611" i="5"/>
  <c r="D621" i="5" s="1"/>
  <c r="D531" i="5"/>
  <c r="D541" i="5" s="1"/>
  <c r="D371" i="5"/>
  <c r="D290" i="5"/>
  <c r="D209" i="5"/>
  <c r="D126" i="5"/>
  <c r="D45" i="5"/>
  <c r="E599" i="5"/>
  <c r="F599" i="5"/>
  <c r="G599" i="5"/>
  <c r="H599" i="5"/>
  <c r="I599" i="5"/>
  <c r="J599" i="5"/>
  <c r="K599" i="5"/>
  <c r="L599" i="5"/>
  <c r="M599" i="5"/>
  <c r="N599" i="5"/>
  <c r="O599" i="5"/>
  <c r="D599" i="5"/>
  <c r="E519" i="5"/>
  <c r="F519" i="5"/>
  <c r="G519" i="5"/>
  <c r="H519" i="5"/>
  <c r="I519" i="5"/>
  <c r="J519" i="5"/>
  <c r="K519" i="5"/>
  <c r="L519" i="5"/>
  <c r="M519" i="5"/>
  <c r="N519" i="5"/>
  <c r="O519" i="5"/>
  <c r="D519" i="5"/>
  <c r="E439" i="5"/>
  <c r="F439" i="5"/>
  <c r="G439" i="5"/>
  <c r="H439" i="5"/>
  <c r="I439" i="5"/>
  <c r="J439" i="5"/>
  <c r="K439" i="5"/>
  <c r="L439" i="5"/>
  <c r="M439" i="5"/>
  <c r="N439" i="5"/>
  <c r="O439" i="5"/>
  <c r="D439" i="5"/>
  <c r="E359" i="5"/>
  <c r="F359" i="5"/>
  <c r="G359" i="5"/>
  <c r="H359" i="5"/>
  <c r="I359" i="5"/>
  <c r="J359" i="5"/>
  <c r="K359" i="5"/>
  <c r="L359" i="5"/>
  <c r="M359" i="5"/>
  <c r="N359" i="5"/>
  <c r="O359" i="5"/>
  <c r="D359" i="5"/>
  <c r="E278" i="5"/>
  <c r="F278" i="5"/>
  <c r="G278" i="5"/>
  <c r="H278" i="5"/>
  <c r="I278" i="5"/>
  <c r="J278" i="5"/>
  <c r="K278" i="5"/>
  <c r="L278" i="5"/>
  <c r="M278" i="5"/>
  <c r="N278" i="5"/>
  <c r="O278" i="5"/>
  <c r="D278" i="5"/>
  <c r="E197" i="5"/>
  <c r="F197" i="5"/>
  <c r="G197" i="5"/>
  <c r="H197" i="5"/>
  <c r="I197" i="5"/>
  <c r="J197" i="5"/>
  <c r="K197" i="5"/>
  <c r="L197" i="5"/>
  <c r="M197" i="5"/>
  <c r="N197" i="5"/>
  <c r="O197" i="5"/>
  <c r="D197" i="5"/>
  <c r="E114" i="5"/>
  <c r="F114" i="5"/>
  <c r="G114" i="5"/>
  <c r="H114" i="5"/>
  <c r="I114" i="5"/>
  <c r="J114" i="5"/>
  <c r="K114" i="5"/>
  <c r="L114" i="5"/>
  <c r="M114" i="5"/>
  <c r="N114" i="5"/>
  <c r="O114" i="5"/>
  <c r="D114" i="5"/>
  <c r="E39" i="5"/>
  <c r="F39" i="5"/>
  <c r="G39" i="5"/>
  <c r="H39" i="5"/>
  <c r="I39" i="5"/>
  <c r="J39" i="5"/>
  <c r="K39" i="5"/>
  <c r="L39" i="5"/>
  <c r="M39" i="5"/>
  <c r="N39" i="5"/>
  <c r="O39" i="5"/>
  <c r="D39" i="5"/>
  <c r="D605" i="5"/>
  <c r="D525" i="5"/>
  <c r="D445" i="5"/>
  <c r="D365" i="5"/>
  <c r="D284" i="5"/>
  <c r="D203" i="5"/>
  <c r="D120" i="5"/>
  <c r="D33" i="5"/>
  <c r="V18" i="4" l="1"/>
  <c r="W18" i="4"/>
  <c r="D376" i="5"/>
  <c r="D381" i="5"/>
  <c r="D298" i="5"/>
  <c r="D295" i="5"/>
  <c r="D300" i="5"/>
  <c r="D216" i="5"/>
  <c r="D219" i="5"/>
  <c r="D214" i="5"/>
  <c r="D131" i="5"/>
  <c r="D136" i="5"/>
  <c r="D52" i="5"/>
  <c r="D55" i="5"/>
  <c r="D460" i="5"/>
  <c r="D458" i="5"/>
  <c r="D377" i="5"/>
  <c r="D379" i="5"/>
  <c r="D380" i="5"/>
  <c r="D378" i="5"/>
  <c r="D619" i="5"/>
  <c r="D620" i="5"/>
  <c r="D618" i="5"/>
  <c r="D540" i="5"/>
  <c r="D538" i="5"/>
  <c r="D539" i="5"/>
  <c r="D459" i="5"/>
  <c r="D299" i="5"/>
  <c r="D297" i="5"/>
  <c r="D296" i="5"/>
  <c r="D218" i="5"/>
  <c r="D217" i="5"/>
  <c r="D134" i="5"/>
  <c r="D135" i="5"/>
  <c r="D133" i="5"/>
  <c r="D48" i="5"/>
  <c r="D50" i="5"/>
  <c r="D53" i="5"/>
  <c r="D54" i="5"/>
  <c r="D51" i="5"/>
  <c r="D49" i="5"/>
  <c r="D617" i="5"/>
  <c r="D614" i="5"/>
  <c r="D537" i="5"/>
  <c r="D534" i="5"/>
  <c r="D454" i="5"/>
  <c r="D457" i="5"/>
  <c r="D215" i="5"/>
  <c r="D212" i="5"/>
  <c r="D132" i="5"/>
  <c r="D130" i="5"/>
  <c r="D129" i="5"/>
  <c r="D375" i="5"/>
  <c r="D374" i="5"/>
  <c r="D536" i="5"/>
  <c r="D294" i="5"/>
  <c r="D293" i="5"/>
  <c r="D456" i="5"/>
  <c r="D615" i="5"/>
  <c r="D671" i="5"/>
  <c r="D672" i="5" s="1"/>
  <c r="D678" i="5" s="1"/>
  <c r="D128" i="5"/>
  <c r="D533" i="5"/>
  <c r="D535" i="5"/>
  <c r="D211" i="5"/>
  <c r="D616" i="5"/>
  <c r="D613" i="5"/>
  <c r="D453" i="5"/>
  <c r="D455" i="5"/>
  <c r="D373" i="5"/>
  <c r="D292" i="5"/>
  <c r="D213" i="5"/>
  <c r="D47" i="5"/>
  <c r="D57" i="5" s="1"/>
  <c r="D61" i="5" s="1"/>
  <c r="B307" i="6"/>
  <c r="E272" i="6"/>
  <c r="E230" i="6"/>
  <c r="G186" i="6"/>
  <c r="E148" i="6"/>
  <c r="G106" i="6"/>
  <c r="G105" i="6"/>
  <c r="G104" i="6"/>
  <c r="G103" i="6"/>
  <c r="G107" i="6"/>
  <c r="D58" i="5" l="1"/>
  <c r="C285" i="6"/>
  <c r="C289" i="6"/>
  <c r="C293" i="6"/>
  <c r="C297" i="6"/>
  <c r="C301" i="6"/>
  <c r="C305" i="6"/>
  <c r="C288" i="6"/>
  <c r="C292" i="6"/>
  <c r="C304" i="6"/>
  <c r="C284" i="6"/>
  <c r="C300" i="6"/>
  <c r="C283" i="6"/>
  <c r="E283" i="6" s="1"/>
  <c r="F283" i="6" s="1"/>
  <c r="C287" i="6"/>
  <c r="C291" i="6"/>
  <c r="C295" i="6"/>
  <c r="C299" i="6"/>
  <c r="C303" i="6"/>
  <c r="C281" i="6"/>
  <c r="C282" i="6"/>
  <c r="C286" i="6"/>
  <c r="C290" i="6"/>
  <c r="C294" i="6"/>
  <c r="C298" i="6"/>
  <c r="C302" i="6"/>
  <c r="C306" i="6"/>
  <c r="C296" i="6"/>
  <c r="O324" i="6"/>
  <c r="O325" i="6"/>
  <c r="Q324" i="6"/>
  <c r="Q325" i="6"/>
  <c r="D384" i="5"/>
  <c r="D624" i="5"/>
  <c r="G624" i="5" s="1"/>
  <c r="D544" i="5"/>
  <c r="D464" i="5"/>
  <c r="G464" i="5" s="1"/>
  <c r="D222" i="5"/>
  <c r="D223" i="5" s="1"/>
  <c r="D303" i="5"/>
  <c r="G303" i="5" s="1"/>
  <c r="D139" i="5"/>
  <c r="F245" i="6"/>
  <c r="G272" i="6"/>
  <c r="G269" i="6"/>
  <c r="E270" i="6"/>
  <c r="E271" i="6"/>
  <c r="F203" i="6"/>
  <c r="G230" i="6"/>
  <c r="G227" i="6"/>
  <c r="E228" i="6"/>
  <c r="E229" i="6"/>
  <c r="E147" i="6"/>
  <c r="E187" i="6"/>
  <c r="E189" i="6"/>
  <c r="E188" i="6"/>
  <c r="E146" i="6"/>
  <c r="C121" i="6" s="1"/>
  <c r="L29" i="9"/>
  <c r="M29" i="9"/>
  <c r="M26" i="9"/>
  <c r="G145" i="6"/>
  <c r="F121" i="6"/>
  <c r="G148" i="6"/>
  <c r="A40" i="14"/>
  <c r="A39" i="14"/>
  <c r="N44" i="14"/>
  <c r="M44" i="14"/>
  <c r="L44" i="14"/>
  <c r="K44" i="14"/>
  <c r="J44" i="14"/>
  <c r="N43" i="14"/>
  <c r="M43" i="14"/>
  <c r="L43" i="14"/>
  <c r="K43" i="14"/>
  <c r="J43" i="14"/>
  <c r="N42" i="14"/>
  <c r="M42" i="14"/>
  <c r="L42" i="14"/>
  <c r="K42" i="14"/>
  <c r="J42" i="14"/>
  <c r="N41" i="14"/>
  <c r="M41" i="14"/>
  <c r="L41" i="14"/>
  <c r="K41" i="14"/>
  <c r="J41" i="14"/>
  <c r="N40" i="14"/>
  <c r="M40" i="14"/>
  <c r="L40" i="14"/>
  <c r="K40" i="14"/>
  <c r="J40" i="14"/>
  <c r="N39" i="14"/>
  <c r="M39" i="14"/>
  <c r="L39" i="14"/>
  <c r="K39" i="14"/>
  <c r="J39" i="14"/>
  <c r="N38" i="14"/>
  <c r="M38" i="14"/>
  <c r="L38" i="14"/>
  <c r="K38" i="14"/>
  <c r="J38" i="14"/>
  <c r="N37" i="14"/>
  <c r="M37" i="14"/>
  <c r="L37" i="14"/>
  <c r="K37" i="14"/>
  <c r="J37" i="14"/>
  <c r="N36" i="14"/>
  <c r="M36" i="14"/>
  <c r="L36" i="14"/>
  <c r="K36" i="14"/>
  <c r="J36" i="14"/>
  <c r="G283" i="6" l="1"/>
  <c r="D283" i="6"/>
  <c r="D303" i="6"/>
  <c r="H286" i="6"/>
  <c r="Q326" i="6"/>
  <c r="R325" i="6" s="1"/>
  <c r="O326" i="6"/>
  <c r="P324" i="6" s="1"/>
  <c r="V72" i="7"/>
  <c r="V65" i="7"/>
  <c r="D228" i="5"/>
  <c r="M45" i="14"/>
  <c r="K45" i="14"/>
  <c r="K65" i="7"/>
  <c r="W65" i="7"/>
  <c r="J45" i="14"/>
  <c r="L45" i="14"/>
  <c r="N45" i="14"/>
  <c r="Y65" i="7"/>
  <c r="G222" i="5"/>
  <c r="H58" i="5"/>
  <c r="H62" i="5" s="1"/>
  <c r="D59" i="5"/>
  <c r="D62" i="5"/>
  <c r="G139" i="5"/>
  <c r="D140" i="5"/>
  <c r="Y72" i="7"/>
  <c r="G287" i="6"/>
  <c r="E287" i="6"/>
  <c r="F287" i="6" s="1"/>
  <c r="D287" i="6"/>
  <c r="G291" i="6"/>
  <c r="E291" i="6"/>
  <c r="F291" i="6" s="1"/>
  <c r="D291" i="6"/>
  <c r="G295" i="6"/>
  <c r="E295" i="6"/>
  <c r="F295" i="6" s="1"/>
  <c r="D295" i="6"/>
  <c r="G299" i="6"/>
  <c r="E299" i="6"/>
  <c r="F299" i="6" s="1"/>
  <c r="D299" i="6"/>
  <c r="G303" i="6"/>
  <c r="E303" i="6"/>
  <c r="F303" i="6" s="1"/>
  <c r="C307" i="6"/>
  <c r="G281" i="6"/>
  <c r="E281" i="6"/>
  <c r="F281" i="6" s="1"/>
  <c r="D281" i="6"/>
  <c r="G284" i="6"/>
  <c r="E284" i="6"/>
  <c r="F284" i="6" s="1"/>
  <c r="D284" i="6"/>
  <c r="G288" i="6"/>
  <c r="E288" i="6"/>
  <c r="F288" i="6" s="1"/>
  <c r="D288" i="6"/>
  <c r="G292" i="6"/>
  <c r="E292" i="6"/>
  <c r="F292" i="6" s="1"/>
  <c r="D292" i="6"/>
  <c r="G296" i="6"/>
  <c r="E296" i="6"/>
  <c r="F296" i="6" s="1"/>
  <c r="D296" i="6"/>
  <c r="G300" i="6"/>
  <c r="E300" i="6"/>
  <c r="F300" i="6" s="1"/>
  <c r="D300" i="6"/>
  <c r="G304" i="6"/>
  <c r="E304" i="6"/>
  <c r="F304" i="6" s="1"/>
  <c r="D304" i="6"/>
  <c r="G285" i="6"/>
  <c r="E285" i="6"/>
  <c r="F285" i="6" s="1"/>
  <c r="D285" i="6"/>
  <c r="G289" i="6"/>
  <c r="E289" i="6"/>
  <c r="F289" i="6" s="1"/>
  <c r="D289" i="6"/>
  <c r="G293" i="6"/>
  <c r="E293" i="6"/>
  <c r="F293" i="6" s="1"/>
  <c r="D293" i="6"/>
  <c r="G297" i="6"/>
  <c r="E297" i="6"/>
  <c r="F297" i="6" s="1"/>
  <c r="D297" i="6"/>
  <c r="G301" i="6"/>
  <c r="E301" i="6"/>
  <c r="F301" i="6" s="1"/>
  <c r="D301" i="6"/>
  <c r="G305" i="6"/>
  <c r="E305" i="6"/>
  <c r="F305" i="6" s="1"/>
  <c r="D305" i="6"/>
  <c r="G282" i="6"/>
  <c r="E282" i="6"/>
  <c r="F282" i="6" s="1"/>
  <c r="D282" i="6"/>
  <c r="G286" i="6"/>
  <c r="E286" i="6"/>
  <c r="F286" i="6" s="1"/>
  <c r="D286" i="6"/>
  <c r="G290" i="6"/>
  <c r="E290" i="6"/>
  <c r="F290" i="6" s="1"/>
  <c r="D290" i="6"/>
  <c r="G294" i="6"/>
  <c r="E294" i="6"/>
  <c r="F294" i="6" s="1"/>
  <c r="D294" i="6"/>
  <c r="G298" i="6"/>
  <c r="E298" i="6"/>
  <c r="F298" i="6" s="1"/>
  <c r="D298" i="6"/>
  <c r="G302" i="6"/>
  <c r="E302" i="6"/>
  <c r="F302" i="6" s="1"/>
  <c r="D302" i="6"/>
  <c r="G306" i="6"/>
  <c r="E306" i="6"/>
  <c r="F306" i="6" s="1"/>
  <c r="D306" i="6"/>
  <c r="G271" i="6"/>
  <c r="D245" i="6"/>
  <c r="C245" i="6"/>
  <c r="G270" i="6"/>
  <c r="Z65" i="7"/>
  <c r="Z72" i="7"/>
  <c r="W72" i="7"/>
  <c r="G229" i="6"/>
  <c r="D203" i="6"/>
  <c r="C203" i="6"/>
  <c r="G228" i="6"/>
  <c r="P65" i="7"/>
  <c r="K72" i="7"/>
  <c r="M72" i="7"/>
  <c r="T65" i="7"/>
  <c r="Q65" i="7"/>
  <c r="S65" i="7"/>
  <c r="T72" i="7"/>
  <c r="S72" i="7"/>
  <c r="J72" i="7"/>
  <c r="Q72" i="7"/>
  <c r="G187" i="6"/>
  <c r="C162" i="6"/>
  <c r="G188" i="6"/>
  <c r="D162" i="6"/>
  <c r="G189" i="6"/>
  <c r="F162" i="6"/>
  <c r="N72" i="7"/>
  <c r="M65" i="7"/>
  <c r="P72" i="7"/>
  <c r="G146" i="6"/>
  <c r="D121" i="6"/>
  <c r="G147" i="6"/>
  <c r="J65" i="7"/>
  <c r="N65" i="7"/>
  <c r="G64" i="6"/>
  <c r="N65" i="14"/>
  <c r="M65" i="14"/>
  <c r="L65" i="14"/>
  <c r="K65" i="14"/>
  <c r="J65" i="14"/>
  <c r="N64" i="14"/>
  <c r="M64" i="14"/>
  <c r="L64" i="14"/>
  <c r="K64" i="14"/>
  <c r="J64" i="14"/>
  <c r="N63" i="14"/>
  <c r="M63" i="14"/>
  <c r="L63" i="14"/>
  <c r="K63" i="14"/>
  <c r="J63" i="14"/>
  <c r="N62" i="14"/>
  <c r="M62" i="14"/>
  <c r="L62" i="14"/>
  <c r="K62" i="14"/>
  <c r="J62" i="14"/>
  <c r="N61" i="14"/>
  <c r="M61" i="14"/>
  <c r="L61" i="14"/>
  <c r="K61" i="14"/>
  <c r="J61" i="14"/>
  <c r="N60" i="14"/>
  <c r="M60" i="14"/>
  <c r="L60" i="14"/>
  <c r="K60" i="14"/>
  <c r="J60" i="14"/>
  <c r="N59" i="14"/>
  <c r="M59" i="14"/>
  <c r="L59" i="14"/>
  <c r="K59" i="14"/>
  <c r="J59" i="14"/>
  <c r="N58" i="14"/>
  <c r="M58" i="14"/>
  <c r="L58" i="14"/>
  <c r="K58" i="14"/>
  <c r="J58" i="14"/>
  <c r="N57" i="14"/>
  <c r="M57" i="14"/>
  <c r="L57" i="14"/>
  <c r="K57" i="14"/>
  <c r="J57" i="14"/>
  <c r="N56" i="14"/>
  <c r="M56" i="14"/>
  <c r="L56" i="14"/>
  <c r="K56" i="14"/>
  <c r="J56" i="14"/>
  <c r="N55" i="14"/>
  <c r="M55" i="14"/>
  <c r="L55" i="14"/>
  <c r="K55" i="14"/>
  <c r="J55" i="14"/>
  <c r="N54" i="14"/>
  <c r="M54" i="14"/>
  <c r="L54" i="14"/>
  <c r="K54" i="14"/>
  <c r="J54" i="14"/>
  <c r="N53" i="14"/>
  <c r="M53" i="14"/>
  <c r="L53" i="14"/>
  <c r="K53" i="14"/>
  <c r="J53" i="14"/>
  <c r="N52" i="14"/>
  <c r="M52" i="14"/>
  <c r="L52" i="14"/>
  <c r="K52" i="14"/>
  <c r="J52" i="14"/>
  <c r="N51" i="14"/>
  <c r="M51" i="14"/>
  <c r="L51" i="14"/>
  <c r="K51" i="14"/>
  <c r="J51" i="14"/>
  <c r="N50" i="14"/>
  <c r="M50" i="14"/>
  <c r="L50" i="14"/>
  <c r="K50" i="14"/>
  <c r="J50" i="14"/>
  <c r="N49" i="14"/>
  <c r="M49" i="14"/>
  <c r="L49" i="14"/>
  <c r="K49" i="14"/>
  <c r="J49" i="14"/>
  <c r="N48" i="14"/>
  <c r="M48" i="14"/>
  <c r="L48" i="14"/>
  <c r="K48" i="14"/>
  <c r="J48" i="14"/>
  <c r="N47" i="14"/>
  <c r="M47" i="14"/>
  <c r="L47" i="14"/>
  <c r="K47" i="14"/>
  <c r="J47" i="14"/>
  <c r="N46" i="14"/>
  <c r="M46" i="14"/>
  <c r="L46" i="14"/>
  <c r="K46" i="14"/>
  <c r="J46" i="14"/>
  <c r="D35" i="14"/>
  <c r="N34" i="14"/>
  <c r="M34" i="14"/>
  <c r="L34" i="14"/>
  <c r="K34" i="14"/>
  <c r="J34" i="14"/>
  <c r="N33" i="14"/>
  <c r="M33" i="14"/>
  <c r="L33" i="14"/>
  <c r="K33" i="14"/>
  <c r="J33" i="14"/>
  <c r="N32" i="14"/>
  <c r="M32" i="14"/>
  <c r="L32" i="14"/>
  <c r="K32" i="14"/>
  <c r="J32" i="14"/>
  <c r="N31" i="14"/>
  <c r="M31" i="14"/>
  <c r="L31" i="14"/>
  <c r="K31" i="14"/>
  <c r="J31" i="14"/>
  <c r="N30" i="14"/>
  <c r="M30" i="14"/>
  <c r="L30" i="14"/>
  <c r="K30" i="14"/>
  <c r="J30" i="14"/>
  <c r="A30" i="14"/>
  <c r="N29" i="14"/>
  <c r="M29" i="14"/>
  <c r="L29" i="14"/>
  <c r="K29" i="14"/>
  <c r="J29" i="14"/>
  <c r="A29" i="14"/>
  <c r="N28" i="14"/>
  <c r="M28" i="14"/>
  <c r="L28" i="14"/>
  <c r="K28" i="14"/>
  <c r="J28" i="14"/>
  <c r="N27" i="14"/>
  <c r="M27" i="14"/>
  <c r="L27" i="14"/>
  <c r="K27" i="14"/>
  <c r="J27" i="14"/>
  <c r="N26" i="14"/>
  <c r="M26" i="14"/>
  <c r="L26" i="14"/>
  <c r="K26" i="14"/>
  <c r="J26" i="14"/>
  <c r="D25" i="14"/>
  <c r="N24" i="14"/>
  <c r="M24" i="14"/>
  <c r="L24" i="14"/>
  <c r="K24" i="14"/>
  <c r="J24" i="14"/>
  <c r="N23" i="14"/>
  <c r="M23" i="14"/>
  <c r="L23" i="14"/>
  <c r="K23" i="14"/>
  <c r="J23" i="14"/>
  <c r="N22" i="14"/>
  <c r="M22" i="14"/>
  <c r="L22" i="14"/>
  <c r="K22" i="14"/>
  <c r="J22" i="14"/>
  <c r="N21" i="14"/>
  <c r="M21" i="14"/>
  <c r="L21" i="14"/>
  <c r="K21" i="14"/>
  <c r="J21" i="14"/>
  <c r="N20" i="14"/>
  <c r="M20" i="14"/>
  <c r="L20" i="14"/>
  <c r="K20" i="14"/>
  <c r="J20" i="14"/>
  <c r="A20" i="14"/>
  <c r="N19" i="14"/>
  <c r="M19" i="14"/>
  <c r="L19" i="14"/>
  <c r="K19" i="14"/>
  <c r="J19" i="14"/>
  <c r="A19" i="14"/>
  <c r="N18" i="14"/>
  <c r="M18" i="14"/>
  <c r="L18" i="14"/>
  <c r="K18" i="14"/>
  <c r="J18" i="14"/>
  <c r="N17" i="14"/>
  <c r="M17" i="14"/>
  <c r="L17" i="14"/>
  <c r="K17" i="14"/>
  <c r="J17" i="14"/>
  <c r="N16" i="14"/>
  <c r="M16" i="14"/>
  <c r="L16" i="14"/>
  <c r="K16" i="14"/>
  <c r="J16" i="14"/>
  <c r="D15" i="14"/>
  <c r="N14" i="14"/>
  <c r="M14" i="14"/>
  <c r="L14" i="14"/>
  <c r="K14" i="14"/>
  <c r="J14" i="14"/>
  <c r="N13" i="14"/>
  <c r="M13" i="14"/>
  <c r="L13" i="14"/>
  <c r="K13" i="14"/>
  <c r="J13" i="14"/>
  <c r="N12" i="14"/>
  <c r="M12" i="14"/>
  <c r="L12" i="14"/>
  <c r="K12" i="14"/>
  <c r="J12" i="14"/>
  <c r="N11" i="14"/>
  <c r="M11" i="14"/>
  <c r="L11" i="14"/>
  <c r="K11" i="14"/>
  <c r="J11" i="14"/>
  <c r="N10" i="14"/>
  <c r="M10" i="14"/>
  <c r="L10" i="14"/>
  <c r="K10" i="14"/>
  <c r="J10" i="14"/>
  <c r="A10" i="14"/>
  <c r="N9" i="14"/>
  <c r="M9" i="14"/>
  <c r="L9" i="14"/>
  <c r="K9" i="14"/>
  <c r="J9" i="14"/>
  <c r="A9" i="14"/>
  <c r="N8" i="14"/>
  <c r="M8" i="14"/>
  <c r="L8" i="14"/>
  <c r="K8" i="14"/>
  <c r="J8" i="14"/>
  <c r="N7" i="14"/>
  <c r="M7" i="14"/>
  <c r="L7" i="14"/>
  <c r="K7" i="14"/>
  <c r="J7" i="14"/>
  <c r="B7" i="14"/>
  <c r="B8" i="14" s="1"/>
  <c r="B9" i="14" s="1"/>
  <c r="B10" i="14" s="1"/>
  <c r="B11" i="14" s="1"/>
  <c r="B12" i="14" s="1"/>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34" i="14" s="1"/>
  <c r="B35" i="14" s="1"/>
  <c r="N6" i="14"/>
  <c r="M6" i="14"/>
  <c r="L6" i="14"/>
  <c r="K6" i="14"/>
  <c r="J6" i="14"/>
  <c r="K53" i="7"/>
  <c r="U54" i="7"/>
  <c r="M54" i="7"/>
  <c r="U53" i="7"/>
  <c r="J53" i="7" s="1"/>
  <c r="N53" i="7"/>
  <c r="U52" i="7"/>
  <c r="J52" i="7" s="1"/>
  <c r="N52" i="7"/>
  <c r="M52" i="7"/>
  <c r="L52" i="7"/>
  <c r="K52" i="7"/>
  <c r="T51" i="7"/>
  <c r="S51" i="7"/>
  <c r="R51" i="7"/>
  <c r="Q51" i="7"/>
  <c r="O51" i="7"/>
  <c r="N51" i="7"/>
  <c r="M51" i="7"/>
  <c r="L51" i="7"/>
  <c r="T50" i="7"/>
  <c r="S50" i="7"/>
  <c r="R50" i="7"/>
  <c r="Q50" i="7"/>
  <c r="O50" i="7"/>
  <c r="N50" i="7"/>
  <c r="M50" i="7"/>
  <c r="L50" i="7"/>
  <c r="T49" i="7"/>
  <c r="E267" i="6" s="1"/>
  <c r="S49" i="7"/>
  <c r="E266" i="6" s="1"/>
  <c r="R49" i="7"/>
  <c r="E265" i="6" s="1"/>
  <c r="Q49" i="7"/>
  <c r="E264" i="6" s="1"/>
  <c r="O49" i="7"/>
  <c r="E262" i="6" s="1"/>
  <c r="N49" i="7"/>
  <c r="M49" i="7"/>
  <c r="L49" i="7"/>
  <c r="K49" i="7"/>
  <c r="U44" i="7"/>
  <c r="T44" i="7"/>
  <c r="S44" i="7"/>
  <c r="R44" i="7"/>
  <c r="Q44" i="7"/>
  <c r="P44" i="7"/>
  <c r="O44" i="7"/>
  <c r="N44" i="7"/>
  <c r="M44" i="7"/>
  <c r="L44" i="7"/>
  <c r="U43" i="7"/>
  <c r="T43" i="7"/>
  <c r="S43" i="7"/>
  <c r="R43" i="7"/>
  <c r="Q43" i="7"/>
  <c r="P43" i="7"/>
  <c r="O43" i="7"/>
  <c r="N43" i="7"/>
  <c r="M43" i="7"/>
  <c r="L43" i="7"/>
  <c r="U42" i="7"/>
  <c r="T42" i="7"/>
  <c r="S42" i="7"/>
  <c r="R42" i="7"/>
  <c r="Q42" i="7"/>
  <c r="P42" i="7"/>
  <c r="O42" i="7"/>
  <c r="N42" i="7"/>
  <c r="M42" i="7"/>
  <c r="L42" i="7"/>
  <c r="K42" i="7"/>
  <c r="J42" i="7"/>
  <c r="U41" i="7"/>
  <c r="T41" i="7"/>
  <c r="S41" i="7"/>
  <c r="R41" i="7"/>
  <c r="C184" i="6" s="1"/>
  <c r="Q41" i="7"/>
  <c r="P41" i="7"/>
  <c r="O41" i="7"/>
  <c r="N41" i="7"/>
  <c r="C182" i="6" s="1"/>
  <c r="M41" i="7"/>
  <c r="L41" i="7"/>
  <c r="K41" i="7"/>
  <c r="J41" i="7"/>
  <c r="D182" i="6" l="1"/>
  <c r="D184" i="6"/>
  <c r="C181" i="6"/>
  <c r="C183" i="6"/>
  <c r="C179" i="6"/>
  <c r="D181" i="6"/>
  <c r="D183" i="6"/>
  <c r="D179" i="6"/>
  <c r="E182" i="6"/>
  <c r="E181" i="6"/>
  <c r="E179" i="6"/>
  <c r="E184" i="6"/>
  <c r="E183" i="6"/>
  <c r="F182" i="6"/>
  <c r="F184" i="6"/>
  <c r="H285" i="6"/>
  <c r="F266" i="6"/>
  <c r="F183" i="6"/>
  <c r="D264" i="6"/>
  <c r="C264" i="6"/>
  <c r="C265" i="6"/>
  <c r="C267" i="6"/>
  <c r="D266" i="6"/>
  <c r="D262" i="6"/>
  <c r="C266" i="6"/>
  <c r="C262" i="6"/>
  <c r="D265" i="6"/>
  <c r="D267" i="6"/>
  <c r="E132" i="6"/>
  <c r="E173" i="6"/>
  <c r="E172" i="6"/>
  <c r="C223" i="6"/>
  <c r="C141" i="6"/>
  <c r="D222" i="6"/>
  <c r="D140" i="6"/>
  <c r="D224" i="6"/>
  <c r="D142" i="6"/>
  <c r="D220" i="6"/>
  <c r="D138" i="6"/>
  <c r="C225" i="6"/>
  <c r="C143" i="6"/>
  <c r="C222" i="6"/>
  <c r="C140" i="6"/>
  <c r="C224" i="6"/>
  <c r="C142" i="6"/>
  <c r="C220" i="6"/>
  <c r="C138" i="6"/>
  <c r="D223" i="6"/>
  <c r="D141" i="6"/>
  <c r="D225" i="6"/>
  <c r="D143" i="6"/>
  <c r="E220" i="6"/>
  <c r="E138" i="6"/>
  <c r="E225" i="6"/>
  <c r="E143" i="6"/>
  <c r="F143" i="6"/>
  <c r="E222" i="6"/>
  <c r="E140" i="6"/>
  <c r="E224" i="6"/>
  <c r="E142" i="6"/>
  <c r="F142" i="6"/>
  <c r="E223" i="6"/>
  <c r="E141" i="6"/>
  <c r="F141" i="6"/>
  <c r="L6" i="9"/>
  <c r="F224" i="6"/>
  <c r="E258" i="6"/>
  <c r="E260" i="6"/>
  <c r="E256" i="6"/>
  <c r="E257" i="6"/>
  <c r="E259" i="6"/>
  <c r="E255" i="6"/>
  <c r="E213" i="6"/>
  <c r="E133" i="6"/>
  <c r="E135" i="6"/>
  <c r="E131" i="6"/>
  <c r="E136" i="6"/>
  <c r="E134" i="6"/>
  <c r="U49" i="7"/>
  <c r="I43" i="7" s="1"/>
  <c r="U50" i="7"/>
  <c r="P50" i="7" s="1"/>
  <c r="R324" i="6"/>
  <c r="E327" i="6" s="1"/>
  <c r="F327" i="6" s="1"/>
  <c r="P325" i="6"/>
  <c r="E326" i="6" s="1"/>
  <c r="F326" i="6" s="1"/>
  <c r="D98" i="6"/>
  <c r="D100" i="6"/>
  <c r="D96" i="6"/>
  <c r="L15" i="14"/>
  <c r="C96" i="6"/>
  <c r="C98" i="6"/>
  <c r="C100" i="6"/>
  <c r="E96" i="6"/>
  <c r="D99" i="6"/>
  <c r="D101" i="6"/>
  <c r="E100" i="6"/>
  <c r="E101" i="6"/>
  <c r="E98" i="6"/>
  <c r="C99" i="6"/>
  <c r="C101" i="6"/>
  <c r="E99" i="6"/>
  <c r="J15" i="14"/>
  <c r="O55" i="7"/>
  <c r="R55" i="7"/>
  <c r="T55" i="7"/>
  <c r="Q55" i="7"/>
  <c r="S55" i="7"/>
  <c r="K15" i="14"/>
  <c r="M15" i="14"/>
  <c r="E89" i="6"/>
  <c r="K50" i="7"/>
  <c r="F181" i="6" s="1"/>
  <c r="K51" i="7"/>
  <c r="B36" i="14"/>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B64" i="14" s="1"/>
  <c r="B65" i="14" s="1"/>
  <c r="R45" i="7"/>
  <c r="T45" i="7"/>
  <c r="N15" i="14"/>
  <c r="M35" i="14"/>
  <c r="E217" i="6" s="1"/>
  <c r="D59" i="6"/>
  <c r="D61" i="6"/>
  <c r="E60" i="6"/>
  <c r="E62" i="6"/>
  <c r="D60" i="6"/>
  <c r="D62" i="6"/>
  <c r="D57" i="6"/>
  <c r="E57" i="6"/>
  <c r="C59" i="6"/>
  <c r="C60" i="6"/>
  <c r="C61" i="6"/>
  <c r="C62" i="6"/>
  <c r="C57" i="6"/>
  <c r="E59" i="6"/>
  <c r="E61" i="6"/>
  <c r="Q45" i="7"/>
  <c r="S45" i="7"/>
  <c r="U45" i="7"/>
  <c r="E50" i="6"/>
  <c r="G50" i="6" s="1"/>
  <c r="K25" i="14"/>
  <c r="E91" i="6" s="1"/>
  <c r="K35" i="14"/>
  <c r="E215" i="6" s="1"/>
  <c r="P45" i="7"/>
  <c r="J25" i="14"/>
  <c r="L25" i="14"/>
  <c r="N25" i="14"/>
  <c r="E177" i="6" s="1"/>
  <c r="J35" i="14"/>
  <c r="E214" i="6" s="1"/>
  <c r="L35" i="14"/>
  <c r="E216" i="6" s="1"/>
  <c r="N35" i="14"/>
  <c r="E218" i="6" s="1"/>
  <c r="M25" i="14"/>
  <c r="E176" i="6" s="1"/>
  <c r="G65" i="6"/>
  <c r="G67" i="6"/>
  <c r="G66" i="6"/>
  <c r="J54" i="7"/>
  <c r="N54" i="7"/>
  <c r="F62" i="6" s="1"/>
  <c r="L54" i="7"/>
  <c r="M45" i="7"/>
  <c r="O45" i="7"/>
  <c r="L45" i="7"/>
  <c r="N45" i="7"/>
  <c r="M53" i="7"/>
  <c r="M55" i="7" s="1"/>
  <c r="U51" i="7"/>
  <c r="L53" i="7"/>
  <c r="K54" i="7"/>
  <c r="D23" i="9"/>
  <c r="C174" i="3"/>
  <c r="E174" i="6" l="1"/>
  <c r="E90" i="6"/>
  <c r="I326" i="6"/>
  <c r="F99" i="6"/>
  <c r="G99" i="6" s="1"/>
  <c r="F164" i="6"/>
  <c r="D164" i="6"/>
  <c r="F223" i="6"/>
  <c r="F225" i="6"/>
  <c r="G225" i="6" s="1"/>
  <c r="F222" i="6"/>
  <c r="E175" i="6"/>
  <c r="G175" i="6" s="1"/>
  <c r="F161" i="6" s="1"/>
  <c r="F122" i="6"/>
  <c r="J50" i="7"/>
  <c r="F180" i="6" s="1"/>
  <c r="F264" i="6"/>
  <c r="F267" i="6"/>
  <c r="G267" i="6" s="1"/>
  <c r="F265" i="6"/>
  <c r="F340" i="6"/>
  <c r="D21" i="9"/>
  <c r="C23" i="9"/>
  <c r="F342" i="6"/>
  <c r="H7" i="9"/>
  <c r="I7" i="9" s="1"/>
  <c r="F140" i="6"/>
  <c r="D123" i="6" s="1"/>
  <c r="F139" i="6"/>
  <c r="M6" i="9"/>
  <c r="H8" i="9" s="1"/>
  <c r="I8" i="9" s="1"/>
  <c r="N6" i="9"/>
  <c r="G184" i="6"/>
  <c r="J49" i="7"/>
  <c r="G183" i="6"/>
  <c r="D204" i="6"/>
  <c r="F204" i="6"/>
  <c r="G181" i="6"/>
  <c r="F163" i="6"/>
  <c r="G179" i="6"/>
  <c r="D163" i="6"/>
  <c r="G182" i="6"/>
  <c r="A347" i="6"/>
  <c r="C21" i="9"/>
  <c r="A345" i="6"/>
  <c r="I44" i="7"/>
  <c r="K43" i="7"/>
  <c r="J43" i="7"/>
  <c r="P49" i="7"/>
  <c r="E263" i="6" s="1"/>
  <c r="I327" i="6"/>
  <c r="G73" i="6" s="1"/>
  <c r="F246" i="6"/>
  <c r="D246" i="6"/>
  <c r="K55" i="7"/>
  <c r="G266" i="6"/>
  <c r="E93" i="6"/>
  <c r="G93" i="6" s="1"/>
  <c r="H78" i="6" s="1"/>
  <c r="E92" i="6"/>
  <c r="F78" i="6" s="1"/>
  <c r="F100" i="6"/>
  <c r="G100" i="6" s="1"/>
  <c r="D80" i="6"/>
  <c r="G220" i="6"/>
  <c r="G224" i="6"/>
  <c r="G262" i="6"/>
  <c r="G142" i="6"/>
  <c r="G258" i="6"/>
  <c r="F244" i="6" s="1"/>
  <c r="G216" i="6"/>
  <c r="F202" i="6" s="1"/>
  <c r="G256" i="6"/>
  <c r="C244" i="6" s="1"/>
  <c r="G217" i="6"/>
  <c r="H202" i="6" s="1"/>
  <c r="G259" i="6"/>
  <c r="H244" i="6" s="1"/>
  <c r="G218" i="6"/>
  <c r="I202" i="6" s="1"/>
  <c r="G257" i="6"/>
  <c r="D244" i="6" s="1"/>
  <c r="G260" i="6"/>
  <c r="I244" i="6" s="1"/>
  <c r="G215" i="6"/>
  <c r="D202" i="6" s="1"/>
  <c r="D122" i="6"/>
  <c r="F80" i="6"/>
  <c r="L55" i="7"/>
  <c r="F123" i="6"/>
  <c r="G143" i="6"/>
  <c r="G138" i="6"/>
  <c r="G131" i="6"/>
  <c r="G172" i="6"/>
  <c r="G89" i="6"/>
  <c r="G255" i="6"/>
  <c r="G174" i="6"/>
  <c r="D161" i="6" s="1"/>
  <c r="G91" i="6"/>
  <c r="D78" i="6" s="1"/>
  <c r="G133" i="6"/>
  <c r="D120" i="6" s="1"/>
  <c r="G134" i="6"/>
  <c r="F120" i="6" s="1"/>
  <c r="F98" i="6"/>
  <c r="G177" i="6"/>
  <c r="I161" i="6" s="1"/>
  <c r="G136" i="6"/>
  <c r="I120" i="6" s="1"/>
  <c r="G176" i="6"/>
  <c r="H161" i="6" s="1"/>
  <c r="G135" i="6"/>
  <c r="H120" i="6" s="1"/>
  <c r="E94" i="6"/>
  <c r="G213" i="6"/>
  <c r="G173" i="6"/>
  <c r="C161" i="6" s="1"/>
  <c r="G214" i="6"/>
  <c r="C202" i="6" s="1"/>
  <c r="G90" i="6"/>
  <c r="C78" i="6" s="1"/>
  <c r="G132" i="6"/>
  <c r="C120" i="6" s="1"/>
  <c r="F96" i="6"/>
  <c r="G96" i="6" s="1"/>
  <c r="F101" i="6"/>
  <c r="G101" i="6" s="1"/>
  <c r="G62" i="6"/>
  <c r="F41" i="6"/>
  <c r="D41" i="6"/>
  <c r="E52" i="6"/>
  <c r="G52" i="6" s="1"/>
  <c r="D39" i="6" s="1"/>
  <c r="E55" i="6"/>
  <c r="G55" i="6" s="1"/>
  <c r="I39" i="6" s="1"/>
  <c r="E51" i="6"/>
  <c r="G51" i="6" s="1"/>
  <c r="C39" i="6" s="1"/>
  <c r="E53" i="6"/>
  <c r="E54" i="6"/>
  <c r="G54" i="6" s="1"/>
  <c r="H39" i="6" s="1"/>
  <c r="F60" i="6"/>
  <c r="F42" i="6" s="1"/>
  <c r="N55" i="7"/>
  <c r="F61" i="6"/>
  <c r="G61" i="6" s="1"/>
  <c r="F59" i="6"/>
  <c r="D42" i="6" s="1"/>
  <c r="F57" i="6"/>
  <c r="G57" i="6" s="1"/>
  <c r="P51" i="7"/>
  <c r="E221" i="6" s="1"/>
  <c r="J51" i="7"/>
  <c r="F263" i="6" s="1"/>
  <c r="D63" i="5"/>
  <c r="D547" i="5"/>
  <c r="E627" i="5"/>
  <c r="F627" i="5"/>
  <c r="G627" i="5"/>
  <c r="H627" i="5"/>
  <c r="I627" i="5"/>
  <c r="J627" i="5"/>
  <c r="K627" i="5"/>
  <c r="L627" i="5"/>
  <c r="M627" i="5"/>
  <c r="N627" i="5"/>
  <c r="O627" i="5"/>
  <c r="D627" i="5"/>
  <c r="E600" i="5"/>
  <c r="F600" i="5"/>
  <c r="G600" i="5"/>
  <c r="H600" i="5"/>
  <c r="I600" i="5"/>
  <c r="J600" i="5"/>
  <c r="K600" i="5"/>
  <c r="L600" i="5"/>
  <c r="M600" i="5"/>
  <c r="N600" i="5"/>
  <c r="O600" i="5"/>
  <c r="D600" i="5"/>
  <c r="F81" i="6" l="1"/>
  <c r="F84" i="6" s="1"/>
  <c r="G84" i="6" s="1"/>
  <c r="E180" i="6"/>
  <c r="C164" i="6" s="1"/>
  <c r="D139" i="6"/>
  <c r="D180" i="6"/>
  <c r="C139" i="6"/>
  <c r="C180" i="6"/>
  <c r="F221" i="6"/>
  <c r="C205" i="6" s="1"/>
  <c r="E139" i="6"/>
  <c r="C123" i="6" s="1"/>
  <c r="H9" i="9"/>
  <c r="I9" i="9" s="1"/>
  <c r="C374" i="6" s="1"/>
  <c r="C378" i="6"/>
  <c r="D16" i="4" s="1"/>
  <c r="C379" i="6"/>
  <c r="D17" i="4" s="1"/>
  <c r="C376" i="6"/>
  <c r="L64" i="7"/>
  <c r="L71" i="7"/>
  <c r="H164" i="6"/>
  <c r="D167" i="6"/>
  <c r="E167" i="6" s="1"/>
  <c r="K44" i="7"/>
  <c r="J44" i="7"/>
  <c r="E97" i="6"/>
  <c r="G92" i="6"/>
  <c r="G141" i="6"/>
  <c r="G265" i="6"/>
  <c r="F247" i="6"/>
  <c r="F250" i="6" s="1"/>
  <c r="G250" i="6" s="1"/>
  <c r="F205" i="6"/>
  <c r="F208" i="6" s="1"/>
  <c r="G208" i="6" s="1"/>
  <c r="G223" i="6"/>
  <c r="D247" i="6"/>
  <c r="D248" i="6" s="1"/>
  <c r="E248" i="6" s="1"/>
  <c r="G264" i="6"/>
  <c r="F97" i="6"/>
  <c r="G222" i="6"/>
  <c r="D205" i="6"/>
  <c r="D208" i="6" s="1"/>
  <c r="E208" i="6" s="1"/>
  <c r="D165" i="6"/>
  <c r="E165" i="6" s="1"/>
  <c r="G140" i="6"/>
  <c r="G94" i="6"/>
  <c r="I78" i="6" s="1"/>
  <c r="I80" i="6" s="1"/>
  <c r="F124" i="6"/>
  <c r="G124" i="6" s="1"/>
  <c r="F126" i="6"/>
  <c r="G126" i="6" s="1"/>
  <c r="D126" i="6"/>
  <c r="E126" i="6" s="1"/>
  <c r="H163" i="6"/>
  <c r="H205" i="6"/>
  <c r="H204" i="6"/>
  <c r="H247" i="6"/>
  <c r="H246" i="6"/>
  <c r="I123" i="6"/>
  <c r="I122" i="6"/>
  <c r="I205" i="6"/>
  <c r="I204" i="6"/>
  <c r="I246" i="6"/>
  <c r="I247" i="6"/>
  <c r="F165" i="6"/>
  <c r="G165" i="6" s="1"/>
  <c r="F167" i="6"/>
  <c r="G167" i="6" s="1"/>
  <c r="H123" i="6"/>
  <c r="H122" i="6"/>
  <c r="H80" i="6"/>
  <c r="H81" i="6"/>
  <c r="I164" i="6"/>
  <c r="I163" i="6"/>
  <c r="D81" i="6"/>
  <c r="D82" i="6" s="1"/>
  <c r="E82" i="6" s="1"/>
  <c r="G98" i="6"/>
  <c r="D124" i="6"/>
  <c r="E124" i="6" s="1"/>
  <c r="H42" i="6"/>
  <c r="H41" i="6"/>
  <c r="D45" i="6"/>
  <c r="E45" i="6" s="1"/>
  <c r="D43" i="6"/>
  <c r="E43" i="6" s="1"/>
  <c r="G53" i="6"/>
  <c r="F39" i="6"/>
  <c r="I42" i="6"/>
  <c r="I41" i="6"/>
  <c r="G59" i="6"/>
  <c r="G60" i="6"/>
  <c r="J55" i="7"/>
  <c r="F58" i="6"/>
  <c r="E58" i="6"/>
  <c r="P55" i="7"/>
  <c r="E678" i="5"/>
  <c r="G678" i="5"/>
  <c r="I678" i="5"/>
  <c r="K678" i="5"/>
  <c r="M678" i="5"/>
  <c r="O678" i="5"/>
  <c r="F678" i="5"/>
  <c r="H678" i="5"/>
  <c r="J678" i="5"/>
  <c r="L678" i="5"/>
  <c r="N678" i="5"/>
  <c r="D625" i="5"/>
  <c r="D606" i="5"/>
  <c r="E588" i="5"/>
  <c r="F588" i="5"/>
  <c r="G588" i="5"/>
  <c r="H588" i="5"/>
  <c r="I588" i="5"/>
  <c r="J588" i="5"/>
  <c r="K588" i="5"/>
  <c r="L588" i="5"/>
  <c r="M588" i="5"/>
  <c r="N588" i="5"/>
  <c r="O588" i="5"/>
  <c r="D588" i="5"/>
  <c r="O606" i="5"/>
  <c r="N606" i="5"/>
  <c r="L606" i="5"/>
  <c r="J606" i="5"/>
  <c r="H606" i="5"/>
  <c r="F606" i="5"/>
  <c r="E547" i="5"/>
  <c r="F547" i="5"/>
  <c r="G547" i="5"/>
  <c r="H547" i="5"/>
  <c r="I547" i="5"/>
  <c r="J547" i="5"/>
  <c r="K547" i="5"/>
  <c r="L547" i="5"/>
  <c r="M547" i="5"/>
  <c r="N547" i="5"/>
  <c r="O547" i="5"/>
  <c r="E520" i="5"/>
  <c r="F520" i="5"/>
  <c r="G520" i="5"/>
  <c r="H520" i="5"/>
  <c r="I520" i="5"/>
  <c r="J520" i="5"/>
  <c r="K520" i="5"/>
  <c r="L520" i="5"/>
  <c r="M520" i="5"/>
  <c r="N520" i="5"/>
  <c r="O520" i="5"/>
  <c r="D520" i="5"/>
  <c r="E508" i="5"/>
  <c r="E510" i="5" s="1"/>
  <c r="F508" i="5"/>
  <c r="F510" i="5" s="1"/>
  <c r="G508" i="5"/>
  <c r="G511" i="5" s="1"/>
  <c r="H508" i="5"/>
  <c r="H509" i="5" s="1"/>
  <c r="I508" i="5"/>
  <c r="I511" i="5" s="1"/>
  <c r="J508" i="5"/>
  <c r="J510" i="5" s="1"/>
  <c r="K508" i="5"/>
  <c r="K511" i="5" s="1"/>
  <c r="L508" i="5"/>
  <c r="L509" i="5" s="1"/>
  <c r="M508" i="5"/>
  <c r="M511" i="5" s="1"/>
  <c r="N508" i="5"/>
  <c r="N510" i="5" s="1"/>
  <c r="O508" i="5"/>
  <c r="O511" i="5" s="1"/>
  <c r="D508" i="5"/>
  <c r="D511" i="5" s="1"/>
  <c r="E467" i="5"/>
  <c r="F467" i="5"/>
  <c r="G467" i="5"/>
  <c r="H467" i="5"/>
  <c r="I467" i="5"/>
  <c r="J467" i="5"/>
  <c r="K467" i="5"/>
  <c r="L467" i="5"/>
  <c r="M467" i="5"/>
  <c r="N467" i="5"/>
  <c r="O467" i="5"/>
  <c r="D467" i="5"/>
  <c r="D440" i="5"/>
  <c r="B37" i="2"/>
  <c r="B33" i="2"/>
  <c r="B29" i="2"/>
  <c r="E440" i="5"/>
  <c r="F440" i="5"/>
  <c r="G440" i="5"/>
  <c r="H440" i="5"/>
  <c r="I440" i="5"/>
  <c r="J440" i="5"/>
  <c r="K440" i="5"/>
  <c r="L440" i="5"/>
  <c r="M440" i="5"/>
  <c r="N440" i="5"/>
  <c r="O440" i="5"/>
  <c r="E428" i="5"/>
  <c r="E431" i="5" s="1"/>
  <c r="F428" i="5"/>
  <c r="F430" i="5" s="1"/>
  <c r="G428" i="5"/>
  <c r="G431" i="5" s="1"/>
  <c r="H428" i="5"/>
  <c r="H430" i="5" s="1"/>
  <c r="I428" i="5"/>
  <c r="I431" i="5" s="1"/>
  <c r="J428" i="5"/>
  <c r="J430" i="5" s="1"/>
  <c r="K428" i="5"/>
  <c r="K431" i="5" s="1"/>
  <c r="L428" i="5"/>
  <c r="L430" i="5" s="1"/>
  <c r="M428" i="5"/>
  <c r="M431" i="5" s="1"/>
  <c r="N428" i="5"/>
  <c r="N430" i="5" s="1"/>
  <c r="O428" i="5"/>
  <c r="O431" i="5" s="1"/>
  <c r="D428" i="5"/>
  <c r="D432" i="5" s="1"/>
  <c r="E387" i="5"/>
  <c r="F387" i="5"/>
  <c r="G387" i="5"/>
  <c r="H387" i="5"/>
  <c r="I387" i="5"/>
  <c r="J387" i="5"/>
  <c r="K387" i="5"/>
  <c r="L387" i="5"/>
  <c r="M387" i="5"/>
  <c r="N387" i="5"/>
  <c r="O387" i="5"/>
  <c r="D387" i="5"/>
  <c r="E360" i="5"/>
  <c r="F360" i="5"/>
  <c r="G360" i="5"/>
  <c r="H360" i="5"/>
  <c r="I360" i="5"/>
  <c r="J360" i="5"/>
  <c r="K360" i="5"/>
  <c r="L360" i="5"/>
  <c r="M360" i="5"/>
  <c r="N360" i="5"/>
  <c r="O360" i="5"/>
  <c r="D360" i="5"/>
  <c r="E348" i="5"/>
  <c r="E351" i="5" s="1"/>
  <c r="F348" i="5"/>
  <c r="F350" i="5" s="1"/>
  <c r="G348" i="5"/>
  <c r="G351" i="5" s="1"/>
  <c r="H348" i="5"/>
  <c r="H350" i="5" s="1"/>
  <c r="I348" i="5"/>
  <c r="I351" i="5" s="1"/>
  <c r="J348" i="5"/>
  <c r="J350" i="5" s="1"/>
  <c r="K348" i="5"/>
  <c r="K351" i="5" s="1"/>
  <c r="L348" i="5"/>
  <c r="L350" i="5" s="1"/>
  <c r="M348" i="5"/>
  <c r="M351" i="5" s="1"/>
  <c r="N348" i="5"/>
  <c r="N350" i="5" s="1"/>
  <c r="O348" i="5"/>
  <c r="O351" i="5" s="1"/>
  <c r="D348" i="5"/>
  <c r="D351" i="5" s="1"/>
  <c r="E306" i="5"/>
  <c r="F306" i="5"/>
  <c r="G306" i="5"/>
  <c r="H306" i="5"/>
  <c r="I306" i="5"/>
  <c r="J306" i="5"/>
  <c r="K306" i="5"/>
  <c r="L306" i="5"/>
  <c r="M306" i="5"/>
  <c r="N306" i="5"/>
  <c r="O306" i="5"/>
  <c r="D306" i="5"/>
  <c r="E279" i="5"/>
  <c r="F279" i="5"/>
  <c r="G279" i="5"/>
  <c r="H279" i="5"/>
  <c r="I279" i="5"/>
  <c r="J279" i="5"/>
  <c r="K279" i="5"/>
  <c r="L279" i="5"/>
  <c r="M279" i="5"/>
  <c r="N279" i="5"/>
  <c r="O279" i="5"/>
  <c r="D279" i="5"/>
  <c r="D198" i="5"/>
  <c r="D204" i="5" s="1"/>
  <c r="E267" i="5"/>
  <c r="F267" i="5"/>
  <c r="F268" i="5" s="1"/>
  <c r="F275" i="5" s="1"/>
  <c r="G267" i="5"/>
  <c r="H267" i="5"/>
  <c r="H268" i="5" s="1"/>
  <c r="H275" i="5" s="1"/>
  <c r="I267" i="5"/>
  <c r="J267" i="5"/>
  <c r="J268" i="5" s="1"/>
  <c r="J275" i="5" s="1"/>
  <c r="K267" i="5"/>
  <c r="L267" i="5"/>
  <c r="L268" i="5" s="1"/>
  <c r="L275" i="5" s="1"/>
  <c r="M267" i="5"/>
  <c r="N267" i="5"/>
  <c r="N268" i="5" s="1"/>
  <c r="N275" i="5" s="1"/>
  <c r="O267" i="5"/>
  <c r="D267" i="5"/>
  <c r="D270" i="5" s="1"/>
  <c r="D273" i="5" s="1"/>
  <c r="E142" i="5"/>
  <c r="D142" i="5" s="1"/>
  <c r="D143" i="5"/>
  <c r="E225" i="5"/>
  <c r="F225" i="5"/>
  <c r="G225" i="5"/>
  <c r="H225" i="5"/>
  <c r="I225" i="5"/>
  <c r="J225" i="5"/>
  <c r="K225" i="5"/>
  <c r="L225" i="5"/>
  <c r="M225" i="5"/>
  <c r="N225" i="5"/>
  <c r="O225" i="5"/>
  <c r="D115" i="5"/>
  <c r="E198" i="5"/>
  <c r="F198" i="5"/>
  <c r="G198" i="5"/>
  <c r="H198" i="5"/>
  <c r="I198" i="5"/>
  <c r="J198" i="5"/>
  <c r="K198" i="5"/>
  <c r="L198" i="5"/>
  <c r="M198" i="5"/>
  <c r="N198" i="5"/>
  <c r="O198" i="5"/>
  <c r="F82" i="6" l="1"/>
  <c r="G82" i="6" s="1"/>
  <c r="C122" i="6"/>
  <c r="C124" i="6" s="1"/>
  <c r="D263" i="6"/>
  <c r="D221" i="6"/>
  <c r="C263" i="6"/>
  <c r="C221" i="6"/>
  <c r="C375" i="6"/>
  <c r="D13" i="4" s="1"/>
  <c r="I11" i="9"/>
  <c r="H165" i="6"/>
  <c r="E8" i="9"/>
  <c r="H341" i="6" s="1"/>
  <c r="K378" i="6"/>
  <c r="L16" i="4" s="1"/>
  <c r="J378" i="6"/>
  <c r="K16" i="4" s="1"/>
  <c r="K379" i="6"/>
  <c r="L17" i="4" s="1"/>
  <c r="E7" i="9"/>
  <c r="H340" i="6" s="1"/>
  <c r="J376" i="6"/>
  <c r="K14" i="4" s="1"/>
  <c r="D14" i="4"/>
  <c r="C377" i="6"/>
  <c r="K376" i="6"/>
  <c r="L14" i="4" s="1"/>
  <c r="E9" i="9"/>
  <c r="H342" i="6" s="1"/>
  <c r="D58" i="6"/>
  <c r="C97" i="6"/>
  <c r="I124" i="6"/>
  <c r="I126" i="6" s="1"/>
  <c r="M376" i="6" s="1"/>
  <c r="J374" i="6"/>
  <c r="K12" i="4" s="1"/>
  <c r="E512" i="5"/>
  <c r="E523" i="5" s="1"/>
  <c r="K45" i="7"/>
  <c r="D97" i="6"/>
  <c r="H167" i="6"/>
  <c r="J45" i="7"/>
  <c r="C58" i="6"/>
  <c r="D250" i="6"/>
  <c r="E250" i="6" s="1"/>
  <c r="J379" i="6" s="1"/>
  <c r="J511" i="5"/>
  <c r="J522" i="5" s="1"/>
  <c r="H510" i="5"/>
  <c r="H521" i="5" s="1"/>
  <c r="I81" i="6"/>
  <c r="I82" i="6" s="1"/>
  <c r="I84" i="6" s="1"/>
  <c r="L510" i="5"/>
  <c r="L521" i="5" s="1"/>
  <c r="J512" i="5"/>
  <c r="J523" i="5" s="1"/>
  <c r="N512" i="5"/>
  <c r="N523" i="5" s="1"/>
  <c r="C81" i="6"/>
  <c r="F248" i="6"/>
  <c r="G248" i="6" s="1"/>
  <c r="I165" i="6"/>
  <c r="G139" i="6"/>
  <c r="I248" i="6"/>
  <c r="H248" i="6"/>
  <c r="F206" i="6"/>
  <c r="G206" i="6" s="1"/>
  <c r="H206" i="6"/>
  <c r="D206" i="6"/>
  <c r="E206" i="6" s="1"/>
  <c r="I206" i="6"/>
  <c r="C247" i="6"/>
  <c r="N511" i="5"/>
  <c r="N522" i="5" s="1"/>
  <c r="N509" i="5"/>
  <c r="N516" i="5" s="1"/>
  <c r="N517" i="5" s="1"/>
  <c r="F512" i="5"/>
  <c r="F523" i="5" s="1"/>
  <c r="F511" i="5"/>
  <c r="F522" i="5" s="1"/>
  <c r="J509" i="5"/>
  <c r="J516" i="5" s="1"/>
  <c r="J517" i="5" s="1"/>
  <c r="F509" i="5"/>
  <c r="F516" i="5" s="1"/>
  <c r="F517" i="5" s="1"/>
  <c r="D12" i="4"/>
  <c r="H82" i="6"/>
  <c r="H84" i="6" s="1"/>
  <c r="H124" i="6"/>
  <c r="H126" i="6" s="1"/>
  <c r="L376" i="6" s="1"/>
  <c r="D84" i="6"/>
  <c r="E84" i="6" s="1"/>
  <c r="L512" i="5"/>
  <c r="L523" i="5" s="1"/>
  <c r="H512" i="5"/>
  <c r="H523" i="5" s="1"/>
  <c r="L511" i="5"/>
  <c r="L522" i="5" s="1"/>
  <c r="H511" i="5"/>
  <c r="H522" i="5" s="1"/>
  <c r="O512" i="5"/>
  <c r="O523" i="5" s="1"/>
  <c r="M512" i="5"/>
  <c r="M523" i="5" s="1"/>
  <c r="K512" i="5"/>
  <c r="K523" i="5" s="1"/>
  <c r="I512" i="5"/>
  <c r="I523" i="5" s="1"/>
  <c r="G512" i="5"/>
  <c r="G523" i="5" s="1"/>
  <c r="K510" i="5"/>
  <c r="K521" i="5" s="1"/>
  <c r="I510" i="5"/>
  <c r="I521" i="5" s="1"/>
  <c r="G510" i="5"/>
  <c r="G521" i="5" s="1"/>
  <c r="C42" i="6"/>
  <c r="I43" i="6"/>
  <c r="F43" i="6"/>
  <c r="G43" i="6" s="1"/>
  <c r="F45" i="6"/>
  <c r="G45" i="6" s="1"/>
  <c r="H43" i="6"/>
  <c r="D144" i="5"/>
  <c r="D147" i="5" s="1"/>
  <c r="E509" i="5"/>
  <c r="E516" i="5" s="1"/>
  <c r="E517" i="5" s="1"/>
  <c r="O526" i="5"/>
  <c r="O510" i="5"/>
  <c r="O521" i="5" s="1"/>
  <c r="M510" i="5"/>
  <c r="M521" i="5" s="1"/>
  <c r="O509" i="5"/>
  <c r="O516" i="5" s="1"/>
  <c r="O517" i="5" s="1"/>
  <c r="M509" i="5"/>
  <c r="M516" i="5" s="1"/>
  <c r="M517" i="5" s="1"/>
  <c r="K509" i="5"/>
  <c r="K516" i="5" s="1"/>
  <c r="K517" i="5" s="1"/>
  <c r="I509" i="5"/>
  <c r="I516" i="5" s="1"/>
  <c r="I517" i="5" s="1"/>
  <c r="G509" i="5"/>
  <c r="G516" i="5" s="1"/>
  <c r="G517" i="5" s="1"/>
  <c r="D443" i="5"/>
  <c r="N441" i="5"/>
  <c r="L441" i="5"/>
  <c r="J441" i="5"/>
  <c r="E511" i="5"/>
  <c r="E522" i="5" s="1"/>
  <c r="E550" i="5"/>
  <c r="E552" i="5" s="1"/>
  <c r="D385" i="5"/>
  <c r="E391" i="5" s="1"/>
  <c r="D229" i="5"/>
  <c r="O442" i="5"/>
  <c r="M442" i="5"/>
  <c r="K442" i="5"/>
  <c r="I442" i="5"/>
  <c r="G442" i="5"/>
  <c r="H441" i="5"/>
  <c r="E442" i="5"/>
  <c r="F441" i="5"/>
  <c r="D591" i="5"/>
  <c r="D602" i="5" s="1"/>
  <c r="D592" i="5"/>
  <c r="D603" i="5" s="1"/>
  <c r="D590" i="5"/>
  <c r="D601" i="5" s="1"/>
  <c r="D589" i="5"/>
  <c r="D596" i="5" s="1"/>
  <c r="D597" i="5" s="1"/>
  <c r="N591" i="5"/>
  <c r="N602" i="5" s="1"/>
  <c r="N590" i="5"/>
  <c r="N601" i="5" s="1"/>
  <c r="N592" i="5"/>
  <c r="N603" i="5" s="1"/>
  <c r="N589" i="5"/>
  <c r="N596" i="5" s="1"/>
  <c r="N597" i="5" s="1"/>
  <c r="L591" i="5"/>
  <c r="L602" i="5" s="1"/>
  <c r="L590" i="5"/>
  <c r="L601" i="5" s="1"/>
  <c r="L592" i="5"/>
  <c r="L603" i="5" s="1"/>
  <c r="L589" i="5"/>
  <c r="L596" i="5" s="1"/>
  <c r="L597" i="5" s="1"/>
  <c r="J591" i="5"/>
  <c r="J602" i="5" s="1"/>
  <c r="J590" i="5"/>
  <c r="J601" i="5" s="1"/>
  <c r="J592" i="5"/>
  <c r="J603" i="5" s="1"/>
  <c r="J589" i="5"/>
  <c r="J596" i="5" s="1"/>
  <c r="J597" i="5" s="1"/>
  <c r="H591" i="5"/>
  <c r="H602" i="5" s="1"/>
  <c r="H590" i="5"/>
  <c r="H601" i="5" s="1"/>
  <c r="H592" i="5"/>
  <c r="H603" i="5" s="1"/>
  <c r="H589" i="5"/>
  <c r="H596" i="5" s="1"/>
  <c r="H597" i="5" s="1"/>
  <c r="F591" i="5"/>
  <c r="F602" i="5" s="1"/>
  <c r="F590" i="5"/>
  <c r="F601" i="5" s="1"/>
  <c r="F592" i="5"/>
  <c r="F603" i="5" s="1"/>
  <c r="F589" i="5"/>
  <c r="F596" i="5" s="1"/>
  <c r="F597" i="5" s="1"/>
  <c r="D430" i="5"/>
  <c r="D441" i="5" s="1"/>
  <c r="N429" i="5"/>
  <c r="N436" i="5" s="1"/>
  <c r="N437" i="5" s="1"/>
  <c r="L429" i="5"/>
  <c r="L436" i="5" s="1"/>
  <c r="L437" i="5" s="1"/>
  <c r="J429" i="5"/>
  <c r="J436" i="5" s="1"/>
  <c r="J437" i="5" s="1"/>
  <c r="H429" i="5"/>
  <c r="H436" i="5" s="1"/>
  <c r="H437" i="5" s="1"/>
  <c r="F429" i="5"/>
  <c r="F436" i="5" s="1"/>
  <c r="F437" i="5" s="1"/>
  <c r="O590" i="5"/>
  <c r="O601" i="5" s="1"/>
  <c r="O592" i="5"/>
  <c r="O603" i="5" s="1"/>
  <c r="O589" i="5"/>
  <c r="O596" i="5" s="1"/>
  <c r="O597" i="5" s="1"/>
  <c r="O591" i="5"/>
  <c r="O602" i="5" s="1"/>
  <c r="M590" i="5"/>
  <c r="M601" i="5" s="1"/>
  <c r="M592" i="5"/>
  <c r="M603" i="5" s="1"/>
  <c r="M589" i="5"/>
  <c r="M596" i="5" s="1"/>
  <c r="M597" i="5" s="1"/>
  <c r="M591" i="5"/>
  <c r="M602" i="5" s="1"/>
  <c r="K590" i="5"/>
  <c r="K601" i="5" s="1"/>
  <c r="K592" i="5"/>
  <c r="K603" i="5" s="1"/>
  <c r="K589" i="5"/>
  <c r="K596" i="5" s="1"/>
  <c r="K597" i="5" s="1"/>
  <c r="K591" i="5"/>
  <c r="K602" i="5" s="1"/>
  <c r="I590" i="5"/>
  <c r="I601" i="5" s="1"/>
  <c r="I592" i="5"/>
  <c r="I603" i="5" s="1"/>
  <c r="I589" i="5"/>
  <c r="I596" i="5" s="1"/>
  <c r="I597" i="5" s="1"/>
  <c r="I591" i="5"/>
  <c r="I602" i="5" s="1"/>
  <c r="G590" i="5"/>
  <c r="G601" i="5" s="1"/>
  <c r="G592" i="5"/>
  <c r="G603" i="5" s="1"/>
  <c r="G589" i="5"/>
  <c r="G596" i="5" s="1"/>
  <c r="G597" i="5" s="1"/>
  <c r="G591" i="5"/>
  <c r="G602" i="5" s="1"/>
  <c r="E590" i="5"/>
  <c r="E601" i="5" s="1"/>
  <c r="E592" i="5"/>
  <c r="E603" i="5" s="1"/>
  <c r="E589" i="5"/>
  <c r="E596" i="5" s="1"/>
  <c r="E597" i="5" s="1"/>
  <c r="E591" i="5"/>
  <c r="E602" i="5" s="1"/>
  <c r="D429" i="5"/>
  <c r="D436" i="5" s="1"/>
  <c r="D437" i="5" s="1"/>
  <c r="O429" i="5"/>
  <c r="O436" i="5" s="1"/>
  <c r="O437" i="5" s="1"/>
  <c r="M429" i="5"/>
  <c r="M436" i="5" s="1"/>
  <c r="M437" i="5" s="1"/>
  <c r="K429" i="5"/>
  <c r="K436" i="5" s="1"/>
  <c r="K437" i="5" s="1"/>
  <c r="I429" i="5"/>
  <c r="I436" i="5" s="1"/>
  <c r="I437" i="5" s="1"/>
  <c r="G429" i="5"/>
  <c r="G436" i="5" s="1"/>
  <c r="G437" i="5" s="1"/>
  <c r="E429" i="5"/>
  <c r="E436" i="5" s="1"/>
  <c r="E437" i="5" s="1"/>
  <c r="I229" i="5"/>
  <c r="D522" i="5"/>
  <c r="F630" i="5"/>
  <c r="H630" i="5"/>
  <c r="J630" i="5"/>
  <c r="L630" i="5"/>
  <c r="N630" i="5"/>
  <c r="E630" i="5"/>
  <c r="G630" i="5"/>
  <c r="I630" i="5"/>
  <c r="K630" i="5"/>
  <c r="M630" i="5"/>
  <c r="O630" i="5"/>
  <c r="D630" i="5"/>
  <c r="G470" i="5"/>
  <c r="G472" i="5" s="1"/>
  <c r="G478" i="5" s="1"/>
  <c r="F470" i="5"/>
  <c r="F472" i="5" s="1"/>
  <c r="F478" i="5" s="1"/>
  <c r="D550" i="5"/>
  <c r="D555" i="5" s="1"/>
  <c r="N550" i="5"/>
  <c r="L550" i="5"/>
  <c r="J550" i="5"/>
  <c r="H550" i="5"/>
  <c r="F550" i="5"/>
  <c r="D545" i="5"/>
  <c r="O550" i="5"/>
  <c r="O555" i="5" s="1"/>
  <c r="M550" i="5"/>
  <c r="M555" i="5" s="1"/>
  <c r="K550" i="5"/>
  <c r="K555" i="5" s="1"/>
  <c r="I550" i="5"/>
  <c r="I555" i="5" s="1"/>
  <c r="G550" i="5"/>
  <c r="G555" i="5" s="1"/>
  <c r="D526" i="5"/>
  <c r="D608" i="5"/>
  <c r="F608" i="5"/>
  <c r="H608" i="5"/>
  <c r="J608" i="5"/>
  <c r="L608" i="5"/>
  <c r="N608" i="5"/>
  <c r="O608" i="5"/>
  <c r="E606" i="5"/>
  <c r="G606" i="5"/>
  <c r="I606" i="5"/>
  <c r="K606" i="5"/>
  <c r="M606" i="5"/>
  <c r="N521" i="5"/>
  <c r="J521" i="5"/>
  <c r="F521" i="5"/>
  <c r="O522" i="5"/>
  <c r="M522" i="5"/>
  <c r="K522" i="5"/>
  <c r="I522" i="5"/>
  <c r="G522" i="5"/>
  <c r="E470" i="5"/>
  <c r="E472" i="5" s="1"/>
  <c r="E478" i="5" s="1"/>
  <c r="E521" i="5"/>
  <c r="D510" i="5"/>
  <c r="D521" i="5" s="1"/>
  <c r="D512" i="5"/>
  <c r="D523" i="5" s="1"/>
  <c r="D509" i="5"/>
  <c r="D516" i="5" s="1"/>
  <c r="D517" i="5" s="1"/>
  <c r="G544" i="5"/>
  <c r="F526" i="5"/>
  <c r="H526" i="5"/>
  <c r="J526" i="5"/>
  <c r="L526" i="5"/>
  <c r="N526" i="5"/>
  <c r="H516" i="5"/>
  <c r="H517" i="5" s="1"/>
  <c r="L516" i="5"/>
  <c r="L517" i="5" s="1"/>
  <c r="E526" i="5"/>
  <c r="G526" i="5"/>
  <c r="I526" i="5"/>
  <c r="K526" i="5"/>
  <c r="M526" i="5"/>
  <c r="O470" i="5"/>
  <c r="I470" i="5"/>
  <c r="I472" i="5" s="1"/>
  <c r="I478" i="5" s="1"/>
  <c r="J470" i="5"/>
  <c r="F446" i="5"/>
  <c r="O446" i="5"/>
  <c r="M446" i="5"/>
  <c r="M448" i="5" s="1"/>
  <c r="K446" i="5"/>
  <c r="K448" i="5" s="1"/>
  <c r="I446" i="5"/>
  <c r="I448" i="5" s="1"/>
  <c r="G446" i="5"/>
  <c r="G448" i="5" s="1"/>
  <c r="E446" i="5"/>
  <c r="E448" i="5" s="1"/>
  <c r="D446" i="5"/>
  <c r="N446" i="5"/>
  <c r="L446" i="5"/>
  <c r="L448" i="5" s="1"/>
  <c r="J446" i="5"/>
  <c r="H446" i="5"/>
  <c r="M270" i="5"/>
  <c r="M273" i="5" s="1"/>
  <c r="I270" i="5"/>
  <c r="I273" i="5" s="1"/>
  <c r="E270" i="5"/>
  <c r="E273" i="5" s="1"/>
  <c r="M268" i="5"/>
  <c r="M275" i="5" s="1"/>
  <c r="M276" i="5" s="1"/>
  <c r="I268" i="5"/>
  <c r="I275" i="5" s="1"/>
  <c r="I276" i="5" s="1"/>
  <c r="E268" i="5"/>
  <c r="E275" i="5" s="1"/>
  <c r="E276" i="5" s="1"/>
  <c r="N351" i="5"/>
  <c r="N362" i="5" s="1"/>
  <c r="J351" i="5"/>
  <c r="J362" i="5" s="1"/>
  <c r="F351" i="5"/>
  <c r="F362" i="5" s="1"/>
  <c r="O270" i="5"/>
  <c r="O273" i="5" s="1"/>
  <c r="K270" i="5"/>
  <c r="K273" i="5" s="1"/>
  <c r="G270" i="5"/>
  <c r="G273" i="5" s="1"/>
  <c r="O268" i="5"/>
  <c r="O275" i="5" s="1"/>
  <c r="O276" i="5" s="1"/>
  <c r="K268" i="5"/>
  <c r="K275" i="5" s="1"/>
  <c r="K276" i="5" s="1"/>
  <c r="G268" i="5"/>
  <c r="G275" i="5" s="1"/>
  <c r="G276" i="5" s="1"/>
  <c r="L351" i="5"/>
  <c r="L362" i="5" s="1"/>
  <c r="H351" i="5"/>
  <c r="H362" i="5" s="1"/>
  <c r="E309" i="5"/>
  <c r="E314" i="5" s="1"/>
  <c r="F390" i="5"/>
  <c r="F395" i="5" s="1"/>
  <c r="G390" i="5"/>
  <c r="G395" i="5" s="1"/>
  <c r="D271" i="5"/>
  <c r="D274" i="5" s="1"/>
  <c r="N271" i="5"/>
  <c r="N274" i="5" s="1"/>
  <c r="J271" i="5"/>
  <c r="J274" i="5" s="1"/>
  <c r="H271" i="5"/>
  <c r="H274" i="5" s="1"/>
  <c r="F271" i="5"/>
  <c r="F274" i="5" s="1"/>
  <c r="N269" i="5"/>
  <c r="N272" i="5" s="1"/>
  <c r="J269" i="5"/>
  <c r="J272" i="5" s="1"/>
  <c r="F269" i="5"/>
  <c r="F272" i="5" s="1"/>
  <c r="D431" i="5"/>
  <c r="D442" i="5" s="1"/>
  <c r="O432" i="5"/>
  <c r="O443" i="5" s="1"/>
  <c r="M432" i="5"/>
  <c r="M443" i="5" s="1"/>
  <c r="K432" i="5"/>
  <c r="K443" i="5" s="1"/>
  <c r="I432" i="5"/>
  <c r="I443" i="5" s="1"/>
  <c r="G432" i="5"/>
  <c r="G443" i="5" s="1"/>
  <c r="E432" i="5"/>
  <c r="E443" i="5" s="1"/>
  <c r="N431" i="5"/>
  <c r="N442" i="5" s="1"/>
  <c r="L431" i="5"/>
  <c r="L442" i="5" s="1"/>
  <c r="J431" i="5"/>
  <c r="J442" i="5" s="1"/>
  <c r="H431" i="5"/>
  <c r="H442" i="5" s="1"/>
  <c r="F431" i="5"/>
  <c r="F442" i="5" s="1"/>
  <c r="O430" i="5"/>
  <c r="O441" i="5" s="1"/>
  <c r="M430" i="5"/>
  <c r="M441" i="5" s="1"/>
  <c r="K430" i="5"/>
  <c r="K441" i="5" s="1"/>
  <c r="I430" i="5"/>
  <c r="I441" i="5" s="1"/>
  <c r="G430" i="5"/>
  <c r="G441" i="5" s="1"/>
  <c r="E430" i="5"/>
  <c r="E441" i="5" s="1"/>
  <c r="D268" i="5"/>
  <c r="D275" i="5" s="1"/>
  <c r="D276" i="5" s="1"/>
  <c r="L271" i="5"/>
  <c r="L274" i="5" s="1"/>
  <c r="L269" i="5"/>
  <c r="L272" i="5" s="1"/>
  <c r="H269" i="5"/>
  <c r="H272" i="5" s="1"/>
  <c r="N276" i="5"/>
  <c r="L276" i="5"/>
  <c r="J276" i="5"/>
  <c r="H276" i="5"/>
  <c r="F276" i="5"/>
  <c r="D269" i="5"/>
  <c r="O352" i="5"/>
  <c r="O363" i="5" s="1"/>
  <c r="M352" i="5"/>
  <c r="M363" i="5" s="1"/>
  <c r="K352" i="5"/>
  <c r="K363" i="5" s="1"/>
  <c r="I352" i="5"/>
  <c r="I363" i="5" s="1"/>
  <c r="G352" i="5"/>
  <c r="G363" i="5" s="1"/>
  <c r="E352" i="5"/>
  <c r="E363" i="5" s="1"/>
  <c r="O350" i="5"/>
  <c r="O361" i="5" s="1"/>
  <c r="M350" i="5"/>
  <c r="M361" i="5" s="1"/>
  <c r="K350" i="5"/>
  <c r="K361" i="5" s="1"/>
  <c r="I350" i="5"/>
  <c r="I361" i="5" s="1"/>
  <c r="G350" i="5"/>
  <c r="G361" i="5" s="1"/>
  <c r="E350" i="5"/>
  <c r="E361" i="5" s="1"/>
  <c r="O271" i="5"/>
  <c r="O274" i="5" s="1"/>
  <c r="M271" i="5"/>
  <c r="M274" i="5" s="1"/>
  <c r="K271" i="5"/>
  <c r="K274" i="5" s="1"/>
  <c r="I271" i="5"/>
  <c r="I274" i="5" s="1"/>
  <c r="G271" i="5"/>
  <c r="G274" i="5" s="1"/>
  <c r="E271" i="5"/>
  <c r="E274" i="5" s="1"/>
  <c r="N270" i="5"/>
  <c r="N273" i="5" s="1"/>
  <c r="L270" i="5"/>
  <c r="L273" i="5" s="1"/>
  <c r="J270" i="5"/>
  <c r="J273" i="5" s="1"/>
  <c r="H270" i="5"/>
  <c r="H273" i="5" s="1"/>
  <c r="F270" i="5"/>
  <c r="F273" i="5" s="1"/>
  <c r="O269" i="5"/>
  <c r="O272" i="5" s="1"/>
  <c r="M269" i="5"/>
  <c r="M272" i="5" s="1"/>
  <c r="K269" i="5"/>
  <c r="K272" i="5" s="1"/>
  <c r="I269" i="5"/>
  <c r="I272" i="5" s="1"/>
  <c r="G269" i="5"/>
  <c r="G272" i="5" s="1"/>
  <c r="E269" i="5"/>
  <c r="E272" i="5" s="1"/>
  <c r="N285" i="5"/>
  <c r="L285" i="5"/>
  <c r="L287" i="5" s="1"/>
  <c r="J285" i="5"/>
  <c r="H285" i="5"/>
  <c r="F285" i="5"/>
  <c r="D349" i="5"/>
  <c r="D356" i="5" s="1"/>
  <c r="D357" i="5" s="1"/>
  <c r="D350" i="5"/>
  <c r="D353" i="5" s="1"/>
  <c r="D352" i="5"/>
  <c r="D363" i="5" s="1"/>
  <c r="N352" i="5"/>
  <c r="N363" i="5" s="1"/>
  <c r="L352" i="5"/>
  <c r="L363" i="5" s="1"/>
  <c r="J352" i="5"/>
  <c r="J363" i="5" s="1"/>
  <c r="H352" i="5"/>
  <c r="H363" i="5" s="1"/>
  <c r="F352" i="5"/>
  <c r="F363" i="5" s="1"/>
  <c r="N432" i="5"/>
  <c r="N443" i="5" s="1"/>
  <c r="L432" i="5"/>
  <c r="L443" i="5" s="1"/>
  <c r="J432" i="5"/>
  <c r="J443" i="5" s="1"/>
  <c r="H432" i="5"/>
  <c r="H443" i="5" s="1"/>
  <c r="F432" i="5"/>
  <c r="F443" i="5" s="1"/>
  <c r="D366" i="5"/>
  <c r="D362" i="5"/>
  <c r="O366" i="5"/>
  <c r="O368" i="5" s="1"/>
  <c r="M366" i="5"/>
  <c r="M368" i="5" s="1"/>
  <c r="K366" i="5"/>
  <c r="I366" i="5"/>
  <c r="G366" i="5"/>
  <c r="G368" i="5" s="1"/>
  <c r="E366" i="5"/>
  <c r="O362" i="5"/>
  <c r="M362" i="5"/>
  <c r="K362" i="5"/>
  <c r="I362" i="5"/>
  <c r="G362" i="5"/>
  <c r="E362" i="5"/>
  <c r="N361" i="5"/>
  <c r="L361" i="5"/>
  <c r="J361" i="5"/>
  <c r="H361" i="5"/>
  <c r="F361" i="5"/>
  <c r="N366" i="5"/>
  <c r="N368" i="5" s="1"/>
  <c r="L366" i="5"/>
  <c r="J366" i="5"/>
  <c r="H366" i="5"/>
  <c r="H368" i="5" s="1"/>
  <c r="F366" i="5"/>
  <c r="F368" i="5" s="1"/>
  <c r="D285" i="5"/>
  <c r="F204" i="5"/>
  <c r="E349" i="5"/>
  <c r="E356" i="5" s="1"/>
  <c r="E357" i="5" s="1"/>
  <c r="G349" i="5"/>
  <c r="G356" i="5" s="1"/>
  <c r="G357" i="5" s="1"/>
  <c r="I349" i="5"/>
  <c r="I356" i="5" s="1"/>
  <c r="I357" i="5" s="1"/>
  <c r="K349" i="5"/>
  <c r="K356" i="5" s="1"/>
  <c r="K357" i="5" s="1"/>
  <c r="M349" i="5"/>
  <c r="M356" i="5" s="1"/>
  <c r="M357" i="5" s="1"/>
  <c r="O349" i="5"/>
  <c r="O356" i="5" s="1"/>
  <c r="O357" i="5" s="1"/>
  <c r="F349" i="5"/>
  <c r="F356" i="5" s="1"/>
  <c r="F357" i="5" s="1"/>
  <c r="H349" i="5"/>
  <c r="H356" i="5" s="1"/>
  <c r="H357" i="5" s="1"/>
  <c r="J349" i="5"/>
  <c r="J356" i="5" s="1"/>
  <c r="J357" i="5" s="1"/>
  <c r="L349" i="5"/>
  <c r="L356" i="5" s="1"/>
  <c r="L357" i="5" s="1"/>
  <c r="N349" i="5"/>
  <c r="N356" i="5" s="1"/>
  <c r="N357" i="5" s="1"/>
  <c r="O204" i="5"/>
  <c r="K204" i="5"/>
  <c r="G204" i="5"/>
  <c r="M204" i="5"/>
  <c r="I204" i="5"/>
  <c r="E204" i="5"/>
  <c r="N204" i="5"/>
  <c r="L204" i="5"/>
  <c r="J204" i="5"/>
  <c r="H204" i="5"/>
  <c r="L309" i="5"/>
  <c r="H309" i="5"/>
  <c r="D304" i="5"/>
  <c r="O309" i="5"/>
  <c r="K309" i="5"/>
  <c r="G309" i="5"/>
  <c r="O285" i="5"/>
  <c r="M285" i="5"/>
  <c r="K285" i="5"/>
  <c r="I285" i="5"/>
  <c r="G285" i="5"/>
  <c r="E285" i="5"/>
  <c r="D281" i="5"/>
  <c r="D121" i="5"/>
  <c r="E186" i="5"/>
  <c r="E189" i="5" s="1"/>
  <c r="F186" i="5"/>
  <c r="G186" i="5"/>
  <c r="G189" i="5" s="1"/>
  <c r="H186" i="5"/>
  <c r="I186" i="5"/>
  <c r="I189" i="5" s="1"/>
  <c r="J186" i="5"/>
  <c r="K186" i="5"/>
  <c r="K189" i="5" s="1"/>
  <c r="L186" i="5"/>
  <c r="M186" i="5"/>
  <c r="M189" i="5" s="1"/>
  <c r="N186" i="5"/>
  <c r="O186" i="5"/>
  <c r="O189" i="5" s="1"/>
  <c r="D186" i="5"/>
  <c r="E143" i="5"/>
  <c r="E144" i="5" s="1"/>
  <c r="F143" i="5"/>
  <c r="G143" i="5"/>
  <c r="H143" i="5"/>
  <c r="I143" i="5"/>
  <c r="J143" i="5"/>
  <c r="K143" i="5"/>
  <c r="L143" i="5"/>
  <c r="M143" i="5"/>
  <c r="N143" i="5"/>
  <c r="O143" i="5"/>
  <c r="E115" i="5"/>
  <c r="F115" i="5"/>
  <c r="G115" i="5"/>
  <c r="H115" i="5"/>
  <c r="I115" i="5"/>
  <c r="J115" i="5"/>
  <c r="K115" i="5"/>
  <c r="L115" i="5"/>
  <c r="M115" i="5"/>
  <c r="N115" i="5"/>
  <c r="O115" i="5"/>
  <c r="O103" i="5"/>
  <c r="O105" i="5" s="1"/>
  <c r="O108" i="5" s="1"/>
  <c r="E103" i="5"/>
  <c r="F103" i="5"/>
  <c r="F107" i="5" s="1"/>
  <c r="F110" i="5" s="1"/>
  <c r="G103" i="5"/>
  <c r="G105" i="5" s="1"/>
  <c r="G108" i="5" s="1"/>
  <c r="H103" i="5"/>
  <c r="H107" i="5" s="1"/>
  <c r="H110" i="5" s="1"/>
  <c r="I103" i="5"/>
  <c r="I105" i="5" s="1"/>
  <c r="I108" i="5" s="1"/>
  <c r="J103" i="5"/>
  <c r="J107" i="5" s="1"/>
  <c r="J110" i="5" s="1"/>
  <c r="K103" i="5"/>
  <c r="K105" i="5" s="1"/>
  <c r="K108" i="5" s="1"/>
  <c r="L103" i="5"/>
  <c r="L107" i="5" s="1"/>
  <c r="L110" i="5" s="1"/>
  <c r="M103" i="5"/>
  <c r="M105" i="5" s="1"/>
  <c r="M108" i="5" s="1"/>
  <c r="N103" i="5"/>
  <c r="N107" i="5" s="1"/>
  <c r="N110" i="5" s="1"/>
  <c r="D103" i="5"/>
  <c r="D104" i="5" s="1"/>
  <c r="D111" i="5" s="1"/>
  <c r="C246" i="6" l="1"/>
  <c r="C248" i="6" s="1"/>
  <c r="G221" i="6"/>
  <c r="G263" i="6"/>
  <c r="C204" i="6"/>
  <c r="C206" i="6" s="1"/>
  <c r="M375" i="6"/>
  <c r="N13" i="4" s="1"/>
  <c r="L375" i="6"/>
  <c r="M13" i="4" s="1"/>
  <c r="K375" i="6"/>
  <c r="L13" i="4" s="1"/>
  <c r="U13" i="4" s="1"/>
  <c r="U17" i="4"/>
  <c r="N358" i="6"/>
  <c r="E377" i="6" s="1"/>
  <c r="N360" i="6"/>
  <c r="E379" i="6" s="1"/>
  <c r="F379" i="6" s="1"/>
  <c r="G379" i="6" s="1"/>
  <c r="H17" i="4" s="1"/>
  <c r="Q17" i="4" s="1"/>
  <c r="C41" i="6"/>
  <c r="K377" i="6"/>
  <c r="L15" i="4" s="1"/>
  <c r="N359" i="6"/>
  <c r="E378" i="6" s="1"/>
  <c r="I332" i="6"/>
  <c r="J332" i="6" s="1"/>
  <c r="K332" i="6" s="1"/>
  <c r="N357" i="6"/>
  <c r="E376" i="6" s="1"/>
  <c r="L377" i="6"/>
  <c r="M15" i="4" s="1"/>
  <c r="T14" i="4"/>
  <c r="T16" i="4"/>
  <c r="U16" i="4"/>
  <c r="U14" i="4"/>
  <c r="I334" i="6"/>
  <c r="J334" i="6" s="1"/>
  <c r="K334" i="6" s="1"/>
  <c r="J377" i="6"/>
  <c r="K15" i="4" s="1"/>
  <c r="D15" i="4"/>
  <c r="E105" i="5"/>
  <c r="E108" i="5" s="1"/>
  <c r="E104" i="5"/>
  <c r="E111" i="5" s="1"/>
  <c r="E112" i="5" s="1"/>
  <c r="J375" i="6"/>
  <c r="K13" i="4" s="1"/>
  <c r="T13" i="4" s="1"/>
  <c r="C80" i="6"/>
  <c r="C82" i="6" s="1"/>
  <c r="M24" i="9" s="1"/>
  <c r="C163" i="6"/>
  <c r="C165" i="6" s="1"/>
  <c r="G180" i="6"/>
  <c r="G114" i="6"/>
  <c r="G196" i="6"/>
  <c r="K374" i="6"/>
  <c r="K17" i="4"/>
  <c r="T17" i="4" s="1"/>
  <c r="G58" i="6"/>
  <c r="G97" i="6"/>
  <c r="I208" i="6"/>
  <c r="M378" i="6" s="1"/>
  <c r="N16" i="4" s="1"/>
  <c r="H250" i="6"/>
  <c r="L379" i="6" s="1"/>
  <c r="H45" i="6"/>
  <c r="I45" i="6"/>
  <c r="I250" i="6"/>
  <c r="M379" i="6" s="1"/>
  <c r="H208" i="6"/>
  <c r="L378" i="6" s="1"/>
  <c r="M16" i="4" s="1"/>
  <c r="I167" i="6"/>
  <c r="M377" i="6" s="1"/>
  <c r="C43" i="6"/>
  <c r="L24" i="9" s="1"/>
  <c r="T12" i="4"/>
  <c r="O282" i="5"/>
  <c r="J280" i="5"/>
  <c r="D448" i="5"/>
  <c r="D486" i="5" s="1"/>
  <c r="O448" i="5"/>
  <c r="O486" i="5" s="1"/>
  <c r="F281" i="5"/>
  <c r="G486" i="5"/>
  <c r="G490" i="5" s="1"/>
  <c r="K486" i="5"/>
  <c r="E555" i="5"/>
  <c r="I281" i="5"/>
  <c r="N229" i="5"/>
  <c r="F229" i="5"/>
  <c r="M14" i="4"/>
  <c r="N14" i="4"/>
  <c r="J287" i="5"/>
  <c r="I309" i="5"/>
  <c r="I311" i="5" s="1"/>
  <c r="I317" i="5" s="1"/>
  <c r="M309" i="5"/>
  <c r="M311" i="5" s="1"/>
  <c r="M317" i="5" s="1"/>
  <c r="D309" i="5"/>
  <c r="D314" i="5" s="1"/>
  <c r="F309" i="5"/>
  <c r="F314" i="5" s="1"/>
  <c r="J309" i="5"/>
  <c r="J314" i="5" s="1"/>
  <c r="N309" i="5"/>
  <c r="N311" i="5" s="1"/>
  <c r="N317" i="5" s="1"/>
  <c r="H470" i="5"/>
  <c r="H472" i="5" s="1"/>
  <c r="H478" i="5" s="1"/>
  <c r="L470" i="5"/>
  <c r="L472" i="5" s="1"/>
  <c r="L478" i="5" s="1"/>
  <c r="M470" i="5"/>
  <c r="M472" i="5" s="1"/>
  <c r="M478" i="5" s="1"/>
  <c r="D470" i="5"/>
  <c r="L475" i="5" s="1"/>
  <c r="K470" i="5"/>
  <c r="K472" i="5" s="1"/>
  <c r="K478" i="5" s="1"/>
  <c r="D465" i="5"/>
  <c r="E471" i="5" s="1"/>
  <c r="J229" i="5"/>
  <c r="M229" i="5"/>
  <c r="H391" i="5"/>
  <c r="H396" i="5" s="1"/>
  <c r="E229" i="5"/>
  <c r="O390" i="5"/>
  <c r="O395" i="5" s="1"/>
  <c r="N390" i="5"/>
  <c r="N395" i="5" s="1"/>
  <c r="D391" i="5"/>
  <c r="D396" i="5" s="1"/>
  <c r="K391" i="5"/>
  <c r="K396" i="5" s="1"/>
  <c r="L229" i="5"/>
  <c r="H229" i="5"/>
  <c r="O229" i="5"/>
  <c r="K229" i="5"/>
  <c r="G229" i="5"/>
  <c r="N470" i="5"/>
  <c r="N472" i="5" s="1"/>
  <c r="N478" i="5" s="1"/>
  <c r="K390" i="5"/>
  <c r="K395" i="5" s="1"/>
  <c r="G384" i="5"/>
  <c r="J390" i="5"/>
  <c r="J395" i="5" s="1"/>
  <c r="L391" i="5"/>
  <c r="L396" i="5" s="1"/>
  <c r="O391" i="5"/>
  <c r="O396" i="5" s="1"/>
  <c r="G391" i="5"/>
  <c r="G396" i="5" s="1"/>
  <c r="G282" i="5"/>
  <c r="F280" i="5"/>
  <c r="N280" i="5"/>
  <c r="H448" i="5"/>
  <c r="H482" i="5" s="1"/>
  <c r="O528" i="5"/>
  <c r="O566" i="5" s="1"/>
  <c r="F206" i="5"/>
  <c r="I368" i="5"/>
  <c r="I406" i="5" s="1"/>
  <c r="L282" i="5"/>
  <c r="I280" i="5"/>
  <c r="N281" i="5"/>
  <c r="K282" i="5"/>
  <c r="H287" i="5"/>
  <c r="J368" i="5"/>
  <c r="J402" i="5" s="1"/>
  <c r="H282" i="5"/>
  <c r="N282" i="5"/>
  <c r="M390" i="5"/>
  <c r="M395" i="5" s="1"/>
  <c r="I390" i="5"/>
  <c r="I395" i="5" s="1"/>
  <c r="E390" i="5"/>
  <c r="E395" i="5" s="1"/>
  <c r="D390" i="5"/>
  <c r="D392" i="5" s="1"/>
  <c r="D398" i="5" s="1"/>
  <c r="L390" i="5"/>
  <c r="L395" i="5" s="1"/>
  <c r="H390" i="5"/>
  <c r="H395" i="5" s="1"/>
  <c r="N391" i="5"/>
  <c r="N396" i="5" s="1"/>
  <c r="J391" i="5"/>
  <c r="J396" i="5" s="1"/>
  <c r="F391" i="5"/>
  <c r="F396" i="5" s="1"/>
  <c r="M391" i="5"/>
  <c r="M396" i="5" s="1"/>
  <c r="I391" i="5"/>
  <c r="I396" i="5" s="1"/>
  <c r="D272" i="5"/>
  <c r="D280" i="5"/>
  <c r="O281" i="5"/>
  <c r="E280" i="5"/>
  <c r="M280" i="5"/>
  <c r="J281" i="5"/>
  <c r="E281" i="5"/>
  <c r="M281" i="5"/>
  <c r="D287" i="5"/>
  <c r="D321" i="5" s="1"/>
  <c r="L280" i="5"/>
  <c r="F287" i="5"/>
  <c r="N287" i="5"/>
  <c r="E368" i="5"/>
  <c r="E406" i="5" s="1"/>
  <c r="G281" i="5"/>
  <c r="F631" i="5"/>
  <c r="H631" i="5"/>
  <c r="J631" i="5"/>
  <c r="L631" i="5"/>
  <c r="N631" i="5"/>
  <c r="D631" i="5"/>
  <c r="E631" i="5"/>
  <c r="G631" i="5"/>
  <c r="I631" i="5"/>
  <c r="K631" i="5"/>
  <c r="M631" i="5"/>
  <c r="O631" i="5"/>
  <c r="E310" i="5"/>
  <c r="E315" i="5" s="1"/>
  <c r="G310" i="5"/>
  <c r="G315" i="5" s="1"/>
  <c r="I310" i="5"/>
  <c r="I315" i="5" s="1"/>
  <c r="K310" i="5"/>
  <c r="K315" i="5" s="1"/>
  <c r="M310" i="5"/>
  <c r="M315" i="5" s="1"/>
  <c r="O310" i="5"/>
  <c r="O315" i="5" s="1"/>
  <c r="F310" i="5"/>
  <c r="F315" i="5" s="1"/>
  <c r="H310" i="5"/>
  <c r="H315" i="5" s="1"/>
  <c r="J310" i="5"/>
  <c r="J315" i="5" s="1"/>
  <c r="L310" i="5"/>
  <c r="L315" i="5" s="1"/>
  <c r="N310" i="5"/>
  <c r="N315" i="5" s="1"/>
  <c r="D310" i="5"/>
  <c r="D315" i="5" s="1"/>
  <c r="F551" i="5"/>
  <c r="F556" i="5" s="1"/>
  <c r="H551" i="5"/>
  <c r="H556" i="5" s="1"/>
  <c r="J551" i="5"/>
  <c r="J556" i="5" s="1"/>
  <c r="L551" i="5"/>
  <c r="L556" i="5" s="1"/>
  <c r="N551" i="5"/>
  <c r="N556" i="5" s="1"/>
  <c r="D551" i="5"/>
  <c r="D556" i="5" s="1"/>
  <c r="E551" i="5"/>
  <c r="E556" i="5" s="1"/>
  <c r="G551" i="5"/>
  <c r="G556" i="5" s="1"/>
  <c r="I551" i="5"/>
  <c r="I556" i="5" s="1"/>
  <c r="K551" i="5"/>
  <c r="K556" i="5" s="1"/>
  <c r="M551" i="5"/>
  <c r="M556" i="5" s="1"/>
  <c r="O551" i="5"/>
  <c r="O556" i="5" s="1"/>
  <c r="O642" i="5"/>
  <c r="O646" i="5"/>
  <c r="L646" i="5"/>
  <c r="L642" i="5"/>
  <c r="H646" i="5"/>
  <c r="H642" i="5"/>
  <c r="N642" i="5"/>
  <c r="N646" i="5"/>
  <c r="J642" i="5"/>
  <c r="J646" i="5"/>
  <c r="F642" i="5"/>
  <c r="F646" i="5"/>
  <c r="D642" i="5"/>
  <c r="D646" i="5"/>
  <c r="E635" i="5"/>
  <c r="G635" i="5"/>
  <c r="I635" i="5"/>
  <c r="K635" i="5"/>
  <c r="M635" i="5"/>
  <c r="O635" i="5"/>
  <c r="D635" i="5"/>
  <c r="D632" i="5"/>
  <c r="D638" i="5" s="1"/>
  <c r="F635" i="5"/>
  <c r="H635" i="5"/>
  <c r="J635" i="5"/>
  <c r="L635" i="5"/>
  <c r="N635" i="5"/>
  <c r="M632" i="5"/>
  <c r="M638" i="5" s="1"/>
  <c r="I632" i="5"/>
  <c r="I638" i="5" s="1"/>
  <c r="E632" i="5"/>
  <c r="E638" i="5" s="1"/>
  <c r="N632" i="5"/>
  <c r="N638" i="5" s="1"/>
  <c r="J632" i="5"/>
  <c r="J638" i="5" s="1"/>
  <c r="F632" i="5"/>
  <c r="F638" i="5" s="1"/>
  <c r="O632" i="5"/>
  <c r="O638" i="5" s="1"/>
  <c r="K632" i="5"/>
  <c r="K638" i="5" s="1"/>
  <c r="G632" i="5"/>
  <c r="G638" i="5" s="1"/>
  <c r="L632" i="5"/>
  <c r="L638" i="5" s="1"/>
  <c r="H632" i="5"/>
  <c r="H638" i="5" s="1"/>
  <c r="G552" i="5"/>
  <c r="G558" i="5" s="1"/>
  <c r="K552" i="5"/>
  <c r="K558" i="5" s="1"/>
  <c r="O552" i="5"/>
  <c r="O558" i="5" s="1"/>
  <c r="F552" i="5"/>
  <c r="F558" i="5" s="1"/>
  <c r="J552" i="5"/>
  <c r="J558" i="5" s="1"/>
  <c r="N552" i="5"/>
  <c r="N558" i="5" s="1"/>
  <c r="F555" i="5"/>
  <c r="J555" i="5"/>
  <c r="N555" i="5"/>
  <c r="I552" i="5"/>
  <c r="I558" i="5" s="1"/>
  <c r="M552" i="5"/>
  <c r="M558" i="5" s="1"/>
  <c r="H552" i="5"/>
  <c r="H558" i="5" s="1"/>
  <c r="L552" i="5"/>
  <c r="L558" i="5" s="1"/>
  <c r="D552" i="5"/>
  <c r="D558" i="5" s="1"/>
  <c r="H555" i="5"/>
  <c r="L555" i="5"/>
  <c r="M608" i="5"/>
  <c r="I608" i="5"/>
  <c r="E608" i="5"/>
  <c r="L595" i="5"/>
  <c r="H595" i="5"/>
  <c r="D595" i="5"/>
  <c r="L594" i="5"/>
  <c r="H594" i="5"/>
  <c r="D594" i="5"/>
  <c r="L593" i="5"/>
  <c r="H593" i="5"/>
  <c r="D593" i="5"/>
  <c r="M595" i="5"/>
  <c r="I595" i="5"/>
  <c r="E595" i="5"/>
  <c r="M594" i="5"/>
  <c r="I594" i="5"/>
  <c r="E594" i="5"/>
  <c r="M593" i="5"/>
  <c r="I593" i="5"/>
  <c r="E593" i="5"/>
  <c r="K608" i="5"/>
  <c r="G608" i="5"/>
  <c r="N595" i="5"/>
  <c r="J595" i="5"/>
  <c r="F595" i="5"/>
  <c r="N594" i="5"/>
  <c r="J594" i="5"/>
  <c r="F594" i="5"/>
  <c r="N593" i="5"/>
  <c r="J593" i="5"/>
  <c r="F593" i="5"/>
  <c r="O595" i="5"/>
  <c r="K595" i="5"/>
  <c r="G595" i="5"/>
  <c r="O594" i="5"/>
  <c r="K594" i="5"/>
  <c r="G594" i="5"/>
  <c r="O593" i="5"/>
  <c r="K593" i="5"/>
  <c r="G593" i="5"/>
  <c r="K528" i="5"/>
  <c r="K566" i="5" s="1"/>
  <c r="G528" i="5"/>
  <c r="N515" i="5"/>
  <c r="J515" i="5"/>
  <c r="F515" i="5"/>
  <c r="N514" i="5"/>
  <c r="J514" i="5"/>
  <c r="F514" i="5"/>
  <c r="N513" i="5"/>
  <c r="J513" i="5"/>
  <c r="F513" i="5"/>
  <c r="L528" i="5"/>
  <c r="L566" i="5" s="1"/>
  <c r="H528" i="5"/>
  <c r="D528" i="5"/>
  <c r="O515" i="5"/>
  <c r="K515" i="5"/>
  <c r="G515" i="5"/>
  <c r="O514" i="5"/>
  <c r="K514" i="5"/>
  <c r="G514" i="5"/>
  <c r="O513" i="5"/>
  <c r="K513" i="5"/>
  <c r="G513" i="5"/>
  <c r="E558" i="5"/>
  <c r="M528" i="5"/>
  <c r="M566" i="5" s="1"/>
  <c r="I528" i="5"/>
  <c r="E528" i="5"/>
  <c r="E566" i="5" s="1"/>
  <c r="L515" i="5"/>
  <c r="H515" i="5"/>
  <c r="D515" i="5"/>
  <c r="L514" i="5"/>
  <c r="H514" i="5"/>
  <c r="D514" i="5"/>
  <c r="L513" i="5"/>
  <c r="H513" i="5"/>
  <c r="D513" i="5"/>
  <c r="N528" i="5"/>
  <c r="J528" i="5"/>
  <c r="J566" i="5" s="1"/>
  <c r="F528" i="5"/>
  <c r="M515" i="5"/>
  <c r="I515" i="5"/>
  <c r="E515" i="5"/>
  <c r="M514" i="5"/>
  <c r="I514" i="5"/>
  <c r="E514" i="5"/>
  <c r="M513" i="5"/>
  <c r="I513" i="5"/>
  <c r="E513" i="5"/>
  <c r="O472" i="5"/>
  <c r="O478" i="5" s="1"/>
  <c r="J472" i="5"/>
  <c r="J478" i="5" s="1"/>
  <c r="L482" i="5"/>
  <c r="L486" i="5"/>
  <c r="E486" i="5"/>
  <c r="I486" i="5"/>
  <c r="M486" i="5"/>
  <c r="G482" i="5"/>
  <c r="K482" i="5"/>
  <c r="E482" i="5"/>
  <c r="I482" i="5"/>
  <c r="M482" i="5"/>
  <c r="K368" i="5"/>
  <c r="K406" i="5" s="1"/>
  <c r="N448" i="5"/>
  <c r="N482" i="5" s="1"/>
  <c r="J448" i="5"/>
  <c r="F448" i="5"/>
  <c r="F482" i="5" s="1"/>
  <c r="H280" i="5"/>
  <c r="F282" i="5"/>
  <c r="J282" i="5"/>
  <c r="G280" i="5"/>
  <c r="K280" i="5"/>
  <c r="O280" i="5"/>
  <c r="H281" i="5"/>
  <c r="L281" i="5"/>
  <c r="L321" i="5" s="1"/>
  <c r="E282" i="5"/>
  <c r="I282" i="5"/>
  <c r="M282" i="5"/>
  <c r="D282" i="5"/>
  <c r="L368" i="5"/>
  <c r="L402" i="5" s="1"/>
  <c r="D361" i="5"/>
  <c r="K281" i="5"/>
  <c r="E311" i="5"/>
  <c r="E317" i="5" s="1"/>
  <c r="D190" i="5"/>
  <c r="D201" i="5" s="1"/>
  <c r="D188" i="5"/>
  <c r="D187" i="5"/>
  <c r="D194" i="5" s="1"/>
  <c r="D195" i="5" s="1"/>
  <c r="D189" i="5"/>
  <c r="G392" i="5"/>
  <c r="G398" i="5" s="1"/>
  <c r="F392" i="5"/>
  <c r="F398" i="5" s="1"/>
  <c r="E396" i="5"/>
  <c r="D368" i="5"/>
  <c r="G406" i="5"/>
  <c r="G402" i="5"/>
  <c r="O406" i="5"/>
  <c r="O402" i="5"/>
  <c r="H402" i="5"/>
  <c r="H406" i="5"/>
  <c r="M406" i="5"/>
  <c r="M402" i="5"/>
  <c r="F402" i="5"/>
  <c r="F406" i="5"/>
  <c r="N402" i="5"/>
  <c r="N406" i="5"/>
  <c r="L435" i="5"/>
  <c r="H435" i="5"/>
  <c r="D435" i="5"/>
  <c r="L434" i="5"/>
  <c r="H434" i="5"/>
  <c r="D434" i="5"/>
  <c r="L433" i="5"/>
  <c r="H433" i="5"/>
  <c r="D433" i="5"/>
  <c r="M435" i="5"/>
  <c r="I435" i="5"/>
  <c r="E435" i="5"/>
  <c r="M434" i="5"/>
  <c r="I434" i="5"/>
  <c r="E434" i="5"/>
  <c r="M433" i="5"/>
  <c r="I433" i="5"/>
  <c r="E433" i="5"/>
  <c r="N435" i="5"/>
  <c r="J435" i="5"/>
  <c r="F435" i="5"/>
  <c r="N434" i="5"/>
  <c r="J434" i="5"/>
  <c r="F434" i="5"/>
  <c r="N433" i="5"/>
  <c r="J433" i="5"/>
  <c r="F433" i="5"/>
  <c r="O435" i="5"/>
  <c r="K435" i="5"/>
  <c r="G435" i="5"/>
  <c r="O434" i="5"/>
  <c r="K434" i="5"/>
  <c r="G434" i="5"/>
  <c r="O433" i="5"/>
  <c r="K433" i="5"/>
  <c r="G433" i="5"/>
  <c r="L355" i="5"/>
  <c r="H355" i="5"/>
  <c r="D355" i="5"/>
  <c r="L354" i="5"/>
  <c r="H354" i="5"/>
  <c r="D354" i="5"/>
  <c r="L353" i="5"/>
  <c r="H353" i="5"/>
  <c r="M355" i="5"/>
  <c r="I355" i="5"/>
  <c r="E355" i="5"/>
  <c r="M354" i="5"/>
  <c r="I354" i="5"/>
  <c r="E354" i="5"/>
  <c r="M353" i="5"/>
  <c r="I353" i="5"/>
  <c r="E353" i="5"/>
  <c r="N355" i="5"/>
  <c r="J355" i="5"/>
  <c r="F355" i="5"/>
  <c r="N354" i="5"/>
  <c r="J354" i="5"/>
  <c r="F354" i="5"/>
  <c r="N353" i="5"/>
  <c r="J353" i="5"/>
  <c r="F353" i="5"/>
  <c r="O355" i="5"/>
  <c r="K355" i="5"/>
  <c r="G355" i="5"/>
  <c r="O354" i="5"/>
  <c r="K354" i="5"/>
  <c r="G354" i="5"/>
  <c r="O353" i="5"/>
  <c r="K353" i="5"/>
  <c r="G353" i="5"/>
  <c r="G314" i="5"/>
  <c r="G311" i="5"/>
  <c r="G317" i="5" s="1"/>
  <c r="O314" i="5"/>
  <c r="O311" i="5"/>
  <c r="O317" i="5" s="1"/>
  <c r="H311" i="5"/>
  <c r="H317" i="5" s="1"/>
  <c r="H314" i="5"/>
  <c r="K314" i="5"/>
  <c r="K311" i="5"/>
  <c r="K317" i="5" s="1"/>
  <c r="L311" i="5"/>
  <c r="L317" i="5" s="1"/>
  <c r="L314" i="5"/>
  <c r="G287" i="5"/>
  <c r="K287" i="5"/>
  <c r="O287" i="5"/>
  <c r="E287" i="5"/>
  <c r="I287" i="5"/>
  <c r="M287" i="5"/>
  <c r="F228" i="5"/>
  <c r="H228" i="5"/>
  <c r="J228" i="5"/>
  <c r="L228" i="5"/>
  <c r="N228" i="5"/>
  <c r="E228" i="5"/>
  <c r="G228" i="5"/>
  <c r="I228" i="5"/>
  <c r="K228" i="5"/>
  <c r="M228" i="5"/>
  <c r="O228" i="5"/>
  <c r="N121" i="5"/>
  <c r="L121" i="5"/>
  <c r="J121" i="5"/>
  <c r="O121" i="5"/>
  <c r="M121" i="5"/>
  <c r="K121" i="5"/>
  <c r="I121" i="5"/>
  <c r="G121" i="5"/>
  <c r="E121" i="5"/>
  <c r="H121" i="5"/>
  <c r="F121" i="5"/>
  <c r="D123" i="5"/>
  <c r="J206" i="5"/>
  <c r="N206" i="5"/>
  <c r="G206" i="5"/>
  <c r="K206" i="5"/>
  <c r="O206" i="5"/>
  <c r="H206" i="5"/>
  <c r="L206" i="5"/>
  <c r="D206" i="5"/>
  <c r="E206" i="5"/>
  <c r="I206" i="5"/>
  <c r="M206" i="5"/>
  <c r="M200" i="5"/>
  <c r="M192" i="5"/>
  <c r="K200" i="5"/>
  <c r="K192" i="5"/>
  <c r="I200" i="5"/>
  <c r="I192" i="5"/>
  <c r="E200" i="5"/>
  <c r="E192" i="5"/>
  <c r="O200" i="5"/>
  <c r="O192" i="5"/>
  <c r="G200" i="5"/>
  <c r="G192" i="5"/>
  <c r="O187" i="5"/>
  <c r="O194" i="5" s="1"/>
  <c r="M187" i="5"/>
  <c r="M194" i="5" s="1"/>
  <c r="K187" i="5"/>
  <c r="K194" i="5" s="1"/>
  <c r="I187" i="5"/>
  <c r="I194" i="5" s="1"/>
  <c r="G187" i="5"/>
  <c r="G194" i="5" s="1"/>
  <c r="E187" i="5"/>
  <c r="E194" i="5" s="1"/>
  <c r="O190" i="5"/>
  <c r="M190" i="5"/>
  <c r="K190" i="5"/>
  <c r="I190" i="5"/>
  <c r="G190" i="5"/>
  <c r="E190" i="5"/>
  <c r="N189" i="5"/>
  <c r="L189" i="5"/>
  <c r="J189" i="5"/>
  <c r="H189" i="5"/>
  <c r="F189" i="5"/>
  <c r="O188" i="5"/>
  <c r="M188" i="5"/>
  <c r="K188" i="5"/>
  <c r="I188" i="5"/>
  <c r="G188" i="5"/>
  <c r="E188" i="5"/>
  <c r="D112" i="5"/>
  <c r="O195" i="5"/>
  <c r="M195" i="5"/>
  <c r="K195" i="5"/>
  <c r="I195" i="5"/>
  <c r="G195" i="5"/>
  <c r="E195" i="5"/>
  <c r="N187" i="5"/>
  <c r="N194" i="5" s="1"/>
  <c r="N195" i="5" s="1"/>
  <c r="L187" i="5"/>
  <c r="L194" i="5" s="1"/>
  <c r="L195" i="5" s="1"/>
  <c r="J187" i="5"/>
  <c r="J194" i="5" s="1"/>
  <c r="J195" i="5" s="1"/>
  <c r="H187" i="5"/>
  <c r="H194" i="5" s="1"/>
  <c r="H195" i="5" s="1"/>
  <c r="F187" i="5"/>
  <c r="F194" i="5" s="1"/>
  <c r="F195" i="5" s="1"/>
  <c r="N190" i="5"/>
  <c r="L190" i="5"/>
  <c r="J190" i="5"/>
  <c r="H190" i="5"/>
  <c r="F190" i="5"/>
  <c r="N188" i="5"/>
  <c r="L188" i="5"/>
  <c r="J188" i="5"/>
  <c r="H188" i="5"/>
  <c r="F188" i="5"/>
  <c r="F144" i="5"/>
  <c r="O144" i="5"/>
  <c r="M144" i="5"/>
  <c r="K144" i="5"/>
  <c r="I144" i="5"/>
  <c r="G144" i="5"/>
  <c r="N144" i="5"/>
  <c r="L144" i="5"/>
  <c r="J144" i="5"/>
  <c r="H144" i="5"/>
  <c r="O116" i="5"/>
  <c r="M116" i="5"/>
  <c r="K116" i="5"/>
  <c r="I116" i="5"/>
  <c r="G116" i="5"/>
  <c r="N118" i="5"/>
  <c r="L118" i="5"/>
  <c r="J118" i="5"/>
  <c r="H118" i="5"/>
  <c r="F118" i="5"/>
  <c r="D107" i="5"/>
  <c r="O104" i="5"/>
  <c r="O111" i="5" s="1"/>
  <c r="O112" i="5" s="1"/>
  <c r="M104" i="5"/>
  <c r="M111" i="5" s="1"/>
  <c r="M112" i="5" s="1"/>
  <c r="K104" i="5"/>
  <c r="K111" i="5" s="1"/>
  <c r="K112" i="5" s="1"/>
  <c r="I104" i="5"/>
  <c r="I111" i="5" s="1"/>
  <c r="I112" i="5" s="1"/>
  <c r="G104" i="5"/>
  <c r="G111" i="5" s="1"/>
  <c r="G112" i="5" s="1"/>
  <c r="N105" i="5"/>
  <c r="L105" i="5"/>
  <c r="J105" i="5"/>
  <c r="H105" i="5"/>
  <c r="F105" i="5"/>
  <c r="O106" i="5"/>
  <c r="M106" i="5"/>
  <c r="K106" i="5"/>
  <c r="I106" i="5"/>
  <c r="G106" i="5"/>
  <c r="E106" i="5"/>
  <c r="D105" i="5"/>
  <c r="O107" i="5"/>
  <c r="M107" i="5"/>
  <c r="K107" i="5"/>
  <c r="I107" i="5"/>
  <c r="G107" i="5"/>
  <c r="E107" i="5"/>
  <c r="N104" i="5"/>
  <c r="N111" i="5" s="1"/>
  <c r="N112" i="5" s="1"/>
  <c r="L104" i="5"/>
  <c r="L111" i="5" s="1"/>
  <c r="L112" i="5" s="1"/>
  <c r="J104" i="5"/>
  <c r="J111" i="5" s="1"/>
  <c r="J112" i="5" s="1"/>
  <c r="H104" i="5"/>
  <c r="H111" i="5" s="1"/>
  <c r="H112" i="5" s="1"/>
  <c r="F104" i="5"/>
  <c r="F111" i="5" s="1"/>
  <c r="F112" i="5" s="1"/>
  <c r="N106" i="5"/>
  <c r="L106" i="5"/>
  <c r="J106" i="5"/>
  <c r="H106" i="5"/>
  <c r="F106" i="5"/>
  <c r="D106" i="5"/>
  <c r="E40" i="5"/>
  <c r="F40" i="5"/>
  <c r="G40" i="5"/>
  <c r="H40" i="5"/>
  <c r="I40" i="5"/>
  <c r="J40" i="5"/>
  <c r="K40" i="5"/>
  <c r="L40" i="5"/>
  <c r="M40" i="5"/>
  <c r="N40" i="5"/>
  <c r="O40" i="5"/>
  <c r="D40" i="5"/>
  <c r="D34" i="5" s="1"/>
  <c r="L12" i="4" l="1"/>
  <c r="U12" i="4" s="1"/>
  <c r="F14" i="4"/>
  <c r="O14" i="4" s="1"/>
  <c r="F376" i="6"/>
  <c r="L27" i="9"/>
  <c r="L23" i="9"/>
  <c r="U15" i="4"/>
  <c r="F16" i="4"/>
  <c r="O16" i="4" s="1"/>
  <c r="F378" i="6"/>
  <c r="G17" i="4"/>
  <c r="P17" i="4" s="1"/>
  <c r="F17" i="4"/>
  <c r="O17" i="4" s="1"/>
  <c r="G238" i="6"/>
  <c r="G155" i="6"/>
  <c r="T15" i="4"/>
  <c r="E116" i="5"/>
  <c r="F15" i="4"/>
  <c r="O15" i="4" s="1"/>
  <c r="F377" i="6"/>
  <c r="O71" i="7"/>
  <c r="O64" i="7"/>
  <c r="U71" i="7"/>
  <c r="U64" i="7"/>
  <c r="C207" i="6"/>
  <c r="U70" i="7"/>
  <c r="U63" i="7"/>
  <c r="O62" i="7"/>
  <c r="O63" i="7"/>
  <c r="O69" i="7"/>
  <c r="C125" i="6"/>
  <c r="O70" i="7"/>
  <c r="L374" i="6"/>
  <c r="M12" i="4" s="1"/>
  <c r="M374" i="6"/>
  <c r="N12" i="4" s="1"/>
  <c r="N17" i="4"/>
  <c r="M17" i="4"/>
  <c r="N15" i="4"/>
  <c r="D311" i="5"/>
  <c r="D317" i="5" s="1"/>
  <c r="I314" i="5"/>
  <c r="I343" i="5" s="1"/>
  <c r="J392" i="5"/>
  <c r="J398" i="5" s="1"/>
  <c r="J311" i="5"/>
  <c r="J317" i="5" s="1"/>
  <c r="D482" i="5"/>
  <c r="H325" i="5"/>
  <c r="H329" i="5" s="1"/>
  <c r="H333" i="5" s="1"/>
  <c r="J321" i="5"/>
  <c r="F471" i="5"/>
  <c r="D471" i="5"/>
  <c r="F476" i="5" s="1"/>
  <c r="D665" i="5"/>
  <c r="D663" i="5"/>
  <c r="D650" i="5"/>
  <c r="D654" i="5" s="1"/>
  <c r="D664" i="5" s="1"/>
  <c r="F650" i="5"/>
  <c r="F654" i="5" s="1"/>
  <c r="J650" i="5"/>
  <c r="J654" i="5" s="1"/>
  <c r="N650" i="5"/>
  <c r="N654" i="5" s="1"/>
  <c r="N664" i="5" s="1"/>
  <c r="O650" i="5"/>
  <c r="O654" i="5" s="1"/>
  <c r="O664" i="5" s="1"/>
  <c r="O663" i="5"/>
  <c r="J664" i="5"/>
  <c r="F664" i="5"/>
  <c r="N665" i="5"/>
  <c r="H650" i="5"/>
  <c r="H654" i="5" s="1"/>
  <c r="H664" i="5" s="1"/>
  <c r="L650" i="5"/>
  <c r="L654" i="5" s="1"/>
  <c r="L664" i="5" s="1"/>
  <c r="E570" i="5"/>
  <c r="E574" i="5" s="1"/>
  <c r="E584" i="5" s="1"/>
  <c r="M570" i="5"/>
  <c r="M574" i="5" s="1"/>
  <c r="M584" i="5" s="1"/>
  <c r="L570" i="5"/>
  <c r="L574" i="5" s="1"/>
  <c r="L584" i="5" s="1"/>
  <c r="J570" i="5"/>
  <c r="J574" i="5" s="1"/>
  <c r="J584" i="5" s="1"/>
  <c r="K570" i="5"/>
  <c r="K574" i="5" s="1"/>
  <c r="K584" i="5" s="1"/>
  <c r="O570" i="5"/>
  <c r="O574" i="5" s="1"/>
  <c r="O584" i="5" s="1"/>
  <c r="M490" i="5"/>
  <c r="M494" i="5" s="1"/>
  <c r="M504" i="5" s="1"/>
  <c r="E490" i="5"/>
  <c r="E494" i="5" s="1"/>
  <c r="E504" i="5" s="1"/>
  <c r="K490" i="5"/>
  <c r="K494" i="5" s="1"/>
  <c r="K504" i="5" s="1"/>
  <c r="O490" i="5"/>
  <c r="O494" i="5" s="1"/>
  <c r="O504" i="5" s="1"/>
  <c r="I490" i="5"/>
  <c r="I494" i="5" s="1"/>
  <c r="I504" i="5" s="1"/>
  <c r="L490" i="5"/>
  <c r="L494" i="5" s="1"/>
  <c r="L504" i="5" s="1"/>
  <c r="G494" i="5"/>
  <c r="G504" i="5" s="1"/>
  <c r="D490" i="5"/>
  <c r="D494" i="5" s="1"/>
  <c r="N410" i="5"/>
  <c r="N414" i="5" s="1"/>
  <c r="F410" i="5"/>
  <c r="F414" i="5" s="1"/>
  <c r="I410" i="5"/>
  <c r="I414" i="5" s="1"/>
  <c r="O410" i="5"/>
  <c r="O414" i="5" s="1"/>
  <c r="G410" i="5"/>
  <c r="G414" i="5" s="1"/>
  <c r="G424" i="5" s="1"/>
  <c r="F424" i="5"/>
  <c r="K410" i="5"/>
  <c r="K414" i="5" s="1"/>
  <c r="E410" i="5"/>
  <c r="E414" i="5" s="1"/>
  <c r="M410" i="5"/>
  <c r="M414" i="5" s="1"/>
  <c r="H410" i="5"/>
  <c r="H414" i="5" s="1"/>
  <c r="H344" i="5"/>
  <c r="H342" i="5"/>
  <c r="H343" i="5"/>
  <c r="L344" i="5"/>
  <c r="L342" i="5"/>
  <c r="L343" i="5"/>
  <c r="G342" i="5"/>
  <c r="G343" i="5"/>
  <c r="G344" i="5"/>
  <c r="E402" i="5"/>
  <c r="D395" i="5"/>
  <c r="N392" i="5"/>
  <c r="N398" i="5" s="1"/>
  <c r="O475" i="5"/>
  <c r="F475" i="5"/>
  <c r="M475" i="5"/>
  <c r="N314" i="5"/>
  <c r="F311" i="5"/>
  <c r="F317" i="5" s="1"/>
  <c r="M314" i="5"/>
  <c r="H392" i="5"/>
  <c r="H398" i="5" s="1"/>
  <c r="I392" i="5"/>
  <c r="I398" i="5" s="1"/>
  <c r="O482" i="5"/>
  <c r="D472" i="5"/>
  <c r="D478" i="5" s="1"/>
  <c r="H475" i="5"/>
  <c r="G475" i="5"/>
  <c r="N475" i="5"/>
  <c r="E475" i="5"/>
  <c r="N321" i="5"/>
  <c r="F325" i="5"/>
  <c r="M392" i="5"/>
  <c r="M398" i="5" s="1"/>
  <c r="K392" i="5"/>
  <c r="K398" i="5" s="1"/>
  <c r="O392" i="5"/>
  <c r="O398" i="5" s="1"/>
  <c r="I471" i="5"/>
  <c r="D69" i="5"/>
  <c r="D66" i="5"/>
  <c r="L471" i="5"/>
  <c r="M471" i="5"/>
  <c r="H471" i="5"/>
  <c r="D475" i="5"/>
  <c r="K475" i="5"/>
  <c r="J475" i="5"/>
  <c r="I475" i="5"/>
  <c r="O471" i="5"/>
  <c r="K471" i="5"/>
  <c r="G471" i="5"/>
  <c r="N471" i="5"/>
  <c r="J471" i="5"/>
  <c r="L325" i="5"/>
  <c r="H486" i="5"/>
  <c r="J406" i="5"/>
  <c r="I402" i="5"/>
  <c r="F321" i="5"/>
  <c r="E392" i="5"/>
  <c r="E398" i="5" s="1"/>
  <c r="O562" i="5"/>
  <c r="N325" i="5"/>
  <c r="K402" i="5"/>
  <c r="L392" i="5"/>
  <c r="L398" i="5" s="1"/>
  <c r="D325" i="5"/>
  <c r="J325" i="5"/>
  <c r="H321" i="5"/>
  <c r="D67" i="5"/>
  <c r="G642" i="5"/>
  <c r="G646" i="5"/>
  <c r="E642" i="5"/>
  <c r="E646" i="5"/>
  <c r="M642" i="5"/>
  <c r="M646" i="5"/>
  <c r="K642" i="5"/>
  <c r="K646" i="5"/>
  <c r="I642" i="5"/>
  <c r="I646" i="5"/>
  <c r="D234" i="5"/>
  <c r="D233" i="5"/>
  <c r="F636" i="5"/>
  <c r="H636" i="5"/>
  <c r="J636" i="5"/>
  <c r="L636" i="5"/>
  <c r="N636" i="5"/>
  <c r="E636" i="5"/>
  <c r="G636" i="5"/>
  <c r="I636" i="5"/>
  <c r="K636" i="5"/>
  <c r="M636" i="5"/>
  <c r="O636" i="5"/>
  <c r="D636" i="5"/>
  <c r="D562" i="5"/>
  <c r="D566" i="5"/>
  <c r="K562" i="5"/>
  <c r="G566" i="5"/>
  <c r="N566" i="5"/>
  <c r="J562" i="5"/>
  <c r="F566" i="5"/>
  <c r="M562" i="5"/>
  <c r="I566" i="5"/>
  <c r="E562" i="5"/>
  <c r="L562" i="5"/>
  <c r="H566" i="5"/>
  <c r="G562" i="5"/>
  <c r="N562" i="5"/>
  <c r="F562" i="5"/>
  <c r="I562" i="5"/>
  <c r="H562" i="5"/>
  <c r="D406" i="5"/>
  <c r="J486" i="5"/>
  <c r="J482" i="5"/>
  <c r="N486" i="5"/>
  <c r="F486" i="5"/>
  <c r="D402" i="5"/>
  <c r="L406" i="5"/>
  <c r="D191" i="5"/>
  <c r="D199" i="5"/>
  <c r="M240" i="5"/>
  <c r="E240" i="5"/>
  <c r="K240" i="5"/>
  <c r="I240" i="5"/>
  <c r="O240" i="5"/>
  <c r="G240" i="5"/>
  <c r="M321" i="5"/>
  <c r="M325" i="5"/>
  <c r="E321" i="5"/>
  <c r="E325" i="5"/>
  <c r="O321" i="5"/>
  <c r="O325" i="5"/>
  <c r="G321" i="5"/>
  <c r="G325" i="5"/>
  <c r="I321" i="5"/>
  <c r="I325" i="5"/>
  <c r="K321" i="5"/>
  <c r="K325" i="5"/>
  <c r="I244" i="5"/>
  <c r="O244" i="5"/>
  <c r="G244" i="5"/>
  <c r="M244" i="5"/>
  <c r="E244" i="5"/>
  <c r="K244" i="5"/>
  <c r="M234" i="5"/>
  <c r="M230" i="5"/>
  <c r="M236" i="5" s="1"/>
  <c r="M233" i="5"/>
  <c r="I234" i="5"/>
  <c r="I230" i="5"/>
  <c r="I236" i="5" s="1"/>
  <c r="I233" i="5"/>
  <c r="E234" i="5"/>
  <c r="E230" i="5"/>
  <c r="E236" i="5" s="1"/>
  <c r="E233" i="5"/>
  <c r="N230" i="5"/>
  <c r="N236" i="5" s="1"/>
  <c r="N234" i="5"/>
  <c r="N233" i="5"/>
  <c r="J230" i="5"/>
  <c r="J236" i="5" s="1"/>
  <c r="J234" i="5"/>
  <c r="J233" i="5"/>
  <c r="F230" i="5"/>
  <c r="F236" i="5" s="1"/>
  <c r="F234" i="5"/>
  <c r="F233" i="5"/>
  <c r="O234" i="5"/>
  <c r="O230" i="5"/>
  <c r="O236" i="5" s="1"/>
  <c r="O233" i="5"/>
  <c r="K234" i="5"/>
  <c r="K230" i="5"/>
  <c r="K236" i="5" s="1"/>
  <c r="K233" i="5"/>
  <c r="G234" i="5"/>
  <c r="G230" i="5"/>
  <c r="G236" i="5" s="1"/>
  <c r="G233" i="5"/>
  <c r="D230" i="5"/>
  <c r="D236" i="5" s="1"/>
  <c r="L230" i="5"/>
  <c r="L236" i="5" s="1"/>
  <c r="L234" i="5"/>
  <c r="L233" i="5"/>
  <c r="H230" i="5"/>
  <c r="H236" i="5" s="1"/>
  <c r="H234" i="5"/>
  <c r="H233" i="5"/>
  <c r="F199" i="5"/>
  <c r="F191" i="5"/>
  <c r="J199" i="5"/>
  <c r="J191" i="5"/>
  <c r="N199" i="5"/>
  <c r="N191" i="5"/>
  <c r="H201" i="5"/>
  <c r="H193" i="5"/>
  <c r="L201" i="5"/>
  <c r="L193" i="5"/>
  <c r="D193" i="5"/>
  <c r="E199" i="5"/>
  <c r="E191" i="5"/>
  <c r="I199" i="5"/>
  <c r="I191" i="5"/>
  <c r="M199" i="5"/>
  <c r="M191" i="5"/>
  <c r="F200" i="5"/>
  <c r="F192" i="5"/>
  <c r="J200" i="5"/>
  <c r="J244" i="5" s="1"/>
  <c r="J192" i="5"/>
  <c r="N200" i="5"/>
  <c r="N244" i="5" s="1"/>
  <c r="N192" i="5"/>
  <c r="G201" i="5"/>
  <c r="G193" i="5"/>
  <c r="K201" i="5"/>
  <c r="K193" i="5"/>
  <c r="O201" i="5"/>
  <c r="O193" i="5"/>
  <c r="H199" i="5"/>
  <c r="H191" i="5"/>
  <c r="L199" i="5"/>
  <c r="L191" i="5"/>
  <c r="F201" i="5"/>
  <c r="F193" i="5"/>
  <c r="J201" i="5"/>
  <c r="J193" i="5"/>
  <c r="N201" i="5"/>
  <c r="N193" i="5"/>
  <c r="G199" i="5"/>
  <c r="G191" i="5"/>
  <c r="K199" i="5"/>
  <c r="K191" i="5"/>
  <c r="O199" i="5"/>
  <c r="O191" i="5"/>
  <c r="H200" i="5"/>
  <c r="H240" i="5" s="1"/>
  <c r="H192" i="5"/>
  <c r="L200" i="5"/>
  <c r="L240" i="5" s="1"/>
  <c r="L192" i="5"/>
  <c r="E201" i="5"/>
  <c r="E193" i="5"/>
  <c r="I201" i="5"/>
  <c r="I193" i="5"/>
  <c r="M201" i="5"/>
  <c r="M193" i="5"/>
  <c r="D200" i="5"/>
  <c r="D244" i="5" s="1"/>
  <c r="D192" i="5"/>
  <c r="D149" i="5"/>
  <c r="D155" i="5" s="1"/>
  <c r="D180" i="5" s="1"/>
  <c r="E147" i="5"/>
  <c r="E152" i="5" s="1"/>
  <c r="G147" i="5"/>
  <c r="G152" i="5" s="1"/>
  <c r="I147" i="5"/>
  <c r="I152" i="5" s="1"/>
  <c r="K147" i="5"/>
  <c r="K152" i="5" s="1"/>
  <c r="M147" i="5"/>
  <c r="M152" i="5" s="1"/>
  <c r="O147" i="5"/>
  <c r="O152" i="5" s="1"/>
  <c r="F147" i="5"/>
  <c r="F152" i="5" s="1"/>
  <c r="H147" i="5"/>
  <c r="H152" i="5" s="1"/>
  <c r="J147" i="5"/>
  <c r="J152" i="5" s="1"/>
  <c r="L147" i="5"/>
  <c r="L152" i="5" s="1"/>
  <c r="N147" i="5"/>
  <c r="N152" i="5" s="1"/>
  <c r="D109" i="5"/>
  <c r="D117" i="5"/>
  <c r="H109" i="5"/>
  <c r="H117" i="5"/>
  <c r="L109" i="5"/>
  <c r="L117" i="5"/>
  <c r="G110" i="5"/>
  <c r="G118" i="5"/>
  <c r="K110" i="5"/>
  <c r="K118" i="5"/>
  <c r="O110" i="5"/>
  <c r="O118" i="5"/>
  <c r="E109" i="5"/>
  <c r="E117" i="5"/>
  <c r="I109" i="5"/>
  <c r="I117" i="5"/>
  <c r="M109" i="5"/>
  <c r="M117" i="5"/>
  <c r="F108" i="5"/>
  <c r="F116" i="5"/>
  <c r="J108" i="5"/>
  <c r="J116" i="5"/>
  <c r="N108" i="5"/>
  <c r="N116" i="5"/>
  <c r="F109" i="5"/>
  <c r="F117" i="5"/>
  <c r="J109" i="5"/>
  <c r="J117" i="5"/>
  <c r="N109" i="5"/>
  <c r="N117" i="5"/>
  <c r="E110" i="5"/>
  <c r="E118" i="5"/>
  <c r="I110" i="5"/>
  <c r="I118" i="5"/>
  <c r="M110" i="5"/>
  <c r="M118" i="5"/>
  <c r="D108" i="5"/>
  <c r="D116" i="5"/>
  <c r="G109" i="5"/>
  <c r="G117" i="5"/>
  <c r="K109" i="5"/>
  <c r="K117" i="5"/>
  <c r="O109" i="5"/>
  <c r="O117" i="5"/>
  <c r="H108" i="5"/>
  <c r="H116" i="5"/>
  <c r="L108" i="5"/>
  <c r="L116" i="5"/>
  <c r="D110" i="5"/>
  <c r="D118" i="5"/>
  <c r="F34" i="5"/>
  <c r="O34" i="5"/>
  <c r="M34" i="5"/>
  <c r="K34" i="5"/>
  <c r="I34" i="5"/>
  <c r="G34" i="5"/>
  <c r="E34" i="5"/>
  <c r="N34" i="5"/>
  <c r="L34" i="5"/>
  <c r="J34" i="5"/>
  <c r="H34" i="5"/>
  <c r="F69" i="5"/>
  <c r="O69" i="5"/>
  <c r="M69" i="5"/>
  <c r="K69" i="5"/>
  <c r="I69" i="5"/>
  <c r="G69" i="5"/>
  <c r="E69" i="5"/>
  <c r="N69" i="5"/>
  <c r="L69" i="5"/>
  <c r="J69" i="5"/>
  <c r="H69" i="5"/>
  <c r="F67" i="5"/>
  <c r="E66" i="5"/>
  <c r="G66" i="5"/>
  <c r="I66" i="5"/>
  <c r="K66" i="5"/>
  <c r="M66" i="5"/>
  <c r="O66" i="5"/>
  <c r="F66" i="5"/>
  <c r="H66" i="5"/>
  <c r="J66" i="5"/>
  <c r="L66" i="5"/>
  <c r="N66" i="5"/>
  <c r="O67" i="5"/>
  <c r="M67" i="5"/>
  <c r="K67" i="5"/>
  <c r="I67" i="5"/>
  <c r="G67" i="5"/>
  <c r="E67" i="5"/>
  <c r="N67" i="5"/>
  <c r="L67" i="5"/>
  <c r="J67" i="5"/>
  <c r="H67" i="5"/>
  <c r="E27" i="5"/>
  <c r="F27" i="5"/>
  <c r="G27" i="5"/>
  <c r="H27" i="5"/>
  <c r="I27" i="5"/>
  <c r="J27" i="5"/>
  <c r="K27" i="5"/>
  <c r="L27" i="5"/>
  <c r="M27" i="5"/>
  <c r="N27" i="5"/>
  <c r="O27" i="5"/>
  <c r="D29" i="5"/>
  <c r="D28" i="5"/>
  <c r="D27" i="5"/>
  <c r="E26" i="5"/>
  <c r="F26" i="5"/>
  <c r="G26" i="5"/>
  <c r="H26" i="5"/>
  <c r="I26" i="5"/>
  <c r="J26" i="5"/>
  <c r="K26" i="5"/>
  <c r="L26" i="5"/>
  <c r="M26" i="5"/>
  <c r="N26" i="5"/>
  <c r="O26" i="5"/>
  <c r="D26" i="5"/>
  <c r="E22" i="5"/>
  <c r="F22" i="5"/>
  <c r="G22" i="5"/>
  <c r="H22" i="5"/>
  <c r="I22" i="5"/>
  <c r="J22" i="5"/>
  <c r="K22" i="5"/>
  <c r="L22" i="5"/>
  <c r="M22" i="5"/>
  <c r="N22" i="5"/>
  <c r="O22" i="5"/>
  <c r="D22" i="5"/>
  <c r="E21" i="5"/>
  <c r="F21" i="5"/>
  <c r="G21" i="5"/>
  <c r="H21" i="5"/>
  <c r="I21" i="5"/>
  <c r="J21" i="5"/>
  <c r="K21" i="5"/>
  <c r="L21" i="5"/>
  <c r="M21" i="5"/>
  <c r="N21" i="5"/>
  <c r="O21" i="5"/>
  <c r="D21" i="5"/>
  <c r="E20" i="5"/>
  <c r="E23" i="5" s="1"/>
  <c r="F20" i="5"/>
  <c r="G20" i="5"/>
  <c r="G23" i="5" s="1"/>
  <c r="H20" i="5"/>
  <c r="H23" i="5" s="1"/>
  <c r="I20" i="5"/>
  <c r="I23" i="5" s="1"/>
  <c r="J20" i="5"/>
  <c r="J23" i="5" s="1"/>
  <c r="K20" i="5"/>
  <c r="K23" i="5" s="1"/>
  <c r="L20" i="5"/>
  <c r="L23" i="5" s="1"/>
  <c r="M20" i="5"/>
  <c r="M23" i="5" s="1"/>
  <c r="N20" i="5"/>
  <c r="N23" i="5" s="1"/>
  <c r="O20" i="5"/>
  <c r="O23" i="5" s="1"/>
  <c r="D20" i="5"/>
  <c r="D23" i="5" s="1"/>
  <c r="E15" i="5"/>
  <c r="F15" i="5"/>
  <c r="G15" i="5"/>
  <c r="H15" i="5"/>
  <c r="I15" i="5"/>
  <c r="J15" i="5"/>
  <c r="K15" i="5"/>
  <c r="L15" i="5"/>
  <c r="M15" i="5"/>
  <c r="N15" i="5"/>
  <c r="O15" i="5"/>
  <c r="E16" i="5"/>
  <c r="F16" i="5"/>
  <c r="G16" i="5"/>
  <c r="H16" i="5"/>
  <c r="I16" i="5"/>
  <c r="J16" i="5"/>
  <c r="K16" i="5"/>
  <c r="L16" i="5"/>
  <c r="M16" i="5"/>
  <c r="N16" i="5"/>
  <c r="O16" i="5"/>
  <c r="E14" i="5"/>
  <c r="F14" i="5"/>
  <c r="G14" i="5"/>
  <c r="H14" i="5"/>
  <c r="I14" i="5"/>
  <c r="J14" i="5"/>
  <c r="K14" i="5"/>
  <c r="L14" i="5"/>
  <c r="M14" i="5"/>
  <c r="N14" i="5"/>
  <c r="O14" i="5"/>
  <c r="D14" i="5"/>
  <c r="D10" i="5"/>
  <c r="E9" i="5"/>
  <c r="F9" i="5"/>
  <c r="G9" i="5"/>
  <c r="H9" i="5"/>
  <c r="I9" i="5"/>
  <c r="J9" i="5"/>
  <c r="K9" i="5"/>
  <c r="L9" i="5"/>
  <c r="M9" i="5"/>
  <c r="N9" i="5"/>
  <c r="O9" i="5"/>
  <c r="D9" i="5"/>
  <c r="F8" i="5"/>
  <c r="E8" i="5"/>
  <c r="G8" i="5"/>
  <c r="H8" i="5"/>
  <c r="I8" i="5"/>
  <c r="J8" i="5"/>
  <c r="K8" i="5"/>
  <c r="L8" i="5"/>
  <c r="M8" i="5"/>
  <c r="N8" i="5"/>
  <c r="O8" i="5"/>
  <c r="E10" i="5"/>
  <c r="F10" i="5"/>
  <c r="G10" i="5"/>
  <c r="H10" i="5"/>
  <c r="I10" i="5"/>
  <c r="J10" i="5"/>
  <c r="K10" i="5"/>
  <c r="L10" i="5"/>
  <c r="M10" i="5"/>
  <c r="N10" i="5"/>
  <c r="O10" i="5"/>
  <c r="D8" i="5"/>
  <c r="F7" i="2"/>
  <c r="F5" i="2"/>
  <c r="C160" i="3"/>
  <c r="A160" i="3"/>
  <c r="D383" i="5"/>
  <c r="D302" i="5"/>
  <c r="D138" i="5"/>
  <c r="D146" i="5" s="1"/>
  <c r="D151" i="5" s="1"/>
  <c r="H65" i="5"/>
  <c r="C133" i="3"/>
  <c r="A587" i="5" s="1"/>
  <c r="B133" i="3"/>
  <c r="A507" i="5" s="1"/>
  <c r="A133" i="3"/>
  <c r="A427" i="5" s="1"/>
  <c r="C117" i="3"/>
  <c r="B117" i="3"/>
  <c r="A117" i="3"/>
  <c r="L30" i="9" l="1"/>
  <c r="W14" i="4"/>
  <c r="W17" i="4"/>
  <c r="V17" i="4"/>
  <c r="V14" i="4"/>
  <c r="G14" i="4"/>
  <c r="P14" i="4" s="1"/>
  <c r="G376" i="6"/>
  <c r="H14" i="4" s="1"/>
  <c r="Q14" i="4" s="1"/>
  <c r="G16" i="4"/>
  <c r="P16" i="4" s="1"/>
  <c r="G378" i="6"/>
  <c r="H16" i="4" s="1"/>
  <c r="Q16" i="4" s="1"/>
  <c r="V16" i="4"/>
  <c r="W16" i="4"/>
  <c r="V15" i="4"/>
  <c r="W15" i="4"/>
  <c r="R69" i="7"/>
  <c r="R62" i="7"/>
  <c r="R64" i="7"/>
  <c r="R63" i="7"/>
  <c r="C166" i="6"/>
  <c r="R71" i="7"/>
  <c r="R70" i="7"/>
  <c r="U72" i="7"/>
  <c r="C208" i="6" s="1"/>
  <c r="H378" i="6" s="1"/>
  <c r="I16" i="4" s="1"/>
  <c r="R16" i="4" s="1"/>
  <c r="X71" i="7"/>
  <c r="C249" i="6"/>
  <c r="X70" i="7"/>
  <c r="X63" i="7"/>
  <c r="X64" i="7"/>
  <c r="G377" i="6"/>
  <c r="H15" i="4" s="1"/>
  <c r="Q15" i="4" s="1"/>
  <c r="G15" i="4"/>
  <c r="P15" i="4" s="1"/>
  <c r="G30" i="5"/>
  <c r="G31" i="5" s="1"/>
  <c r="K30" i="5"/>
  <c r="K31" i="5" s="1"/>
  <c r="D30" i="5"/>
  <c r="D31" i="5" s="1"/>
  <c r="F30" i="5"/>
  <c r="F31" i="5" s="1"/>
  <c r="J30" i="5"/>
  <c r="J31" i="5" s="1"/>
  <c r="N30" i="5"/>
  <c r="N31" i="5" s="1"/>
  <c r="E30" i="5"/>
  <c r="E31" i="5" s="1"/>
  <c r="I30" i="5"/>
  <c r="I31" i="5" s="1"/>
  <c r="M30" i="5"/>
  <c r="M31" i="5" s="1"/>
  <c r="O30" i="5"/>
  <c r="O31" i="5" s="1"/>
  <c r="H30" i="5"/>
  <c r="H31" i="5" s="1"/>
  <c r="L30" i="5"/>
  <c r="L31" i="5" s="1"/>
  <c r="U65" i="7"/>
  <c r="O65" i="7"/>
  <c r="O72" i="7"/>
  <c r="C126" i="6" s="1"/>
  <c r="H376" i="6" s="1"/>
  <c r="I14" i="4" s="1"/>
  <c r="R14" i="4" s="1"/>
  <c r="I342" i="5"/>
  <c r="I344" i="5"/>
  <c r="N476" i="5"/>
  <c r="I476" i="5"/>
  <c r="D476" i="5"/>
  <c r="D623" i="5"/>
  <c r="D463" i="5"/>
  <c r="D543" i="5"/>
  <c r="G308" i="5"/>
  <c r="G313" i="5" s="1"/>
  <c r="G318" i="5" s="1"/>
  <c r="G339" i="5" s="1"/>
  <c r="K308" i="5"/>
  <c r="K313" i="5" s="1"/>
  <c r="K318" i="5" s="1"/>
  <c r="O308" i="5"/>
  <c r="O313" i="5" s="1"/>
  <c r="O318" i="5" s="1"/>
  <c r="H308" i="5"/>
  <c r="H313" i="5" s="1"/>
  <c r="H318" i="5" s="1"/>
  <c r="H337" i="5" s="1"/>
  <c r="L308" i="5"/>
  <c r="L313" i="5" s="1"/>
  <c r="L318" i="5" s="1"/>
  <c r="L339" i="5" s="1"/>
  <c r="D308" i="5"/>
  <c r="D313" i="5" s="1"/>
  <c r="D318" i="5" s="1"/>
  <c r="E308" i="5"/>
  <c r="E313" i="5" s="1"/>
  <c r="E318" i="5" s="1"/>
  <c r="I308" i="5"/>
  <c r="I313" i="5" s="1"/>
  <c r="I318" i="5" s="1"/>
  <c r="I339" i="5" s="1"/>
  <c r="M308" i="5"/>
  <c r="M313" i="5" s="1"/>
  <c r="M318" i="5" s="1"/>
  <c r="M337" i="5" s="1"/>
  <c r="F308" i="5"/>
  <c r="F313" i="5" s="1"/>
  <c r="F318" i="5" s="1"/>
  <c r="J308" i="5"/>
  <c r="J313" i="5" s="1"/>
  <c r="J318" i="5" s="1"/>
  <c r="N308" i="5"/>
  <c r="N313" i="5" s="1"/>
  <c r="N318" i="5" s="1"/>
  <c r="D221" i="5"/>
  <c r="D607" i="5"/>
  <c r="F607" i="5"/>
  <c r="J607" i="5"/>
  <c r="N607" i="5"/>
  <c r="H607" i="5"/>
  <c r="L607" i="5"/>
  <c r="O607" i="5"/>
  <c r="D205" i="5"/>
  <c r="D239" i="5" s="1"/>
  <c r="J286" i="5"/>
  <c r="D527" i="5"/>
  <c r="D286" i="5"/>
  <c r="K367" i="5"/>
  <c r="H286" i="5"/>
  <c r="K447" i="5"/>
  <c r="L447" i="5"/>
  <c r="I447" i="5"/>
  <c r="J367" i="5"/>
  <c r="M607" i="5"/>
  <c r="E607" i="5"/>
  <c r="G607" i="5"/>
  <c r="G527" i="5"/>
  <c r="L527" i="5"/>
  <c r="M527" i="5"/>
  <c r="E527" i="5"/>
  <c r="N527" i="5"/>
  <c r="F527" i="5"/>
  <c r="F205" i="5"/>
  <c r="F239" i="5" s="1"/>
  <c r="F286" i="5"/>
  <c r="N286" i="5"/>
  <c r="D447" i="5"/>
  <c r="M367" i="5"/>
  <c r="O527" i="5"/>
  <c r="L286" i="5"/>
  <c r="N367" i="5"/>
  <c r="F367" i="5"/>
  <c r="H447" i="5"/>
  <c r="E367" i="5"/>
  <c r="I367" i="5"/>
  <c r="I607" i="5"/>
  <c r="K607" i="5"/>
  <c r="K527" i="5"/>
  <c r="H527" i="5"/>
  <c r="I527" i="5"/>
  <c r="J527" i="5"/>
  <c r="N447" i="5"/>
  <c r="F447" i="5"/>
  <c r="D367" i="5"/>
  <c r="O367" i="5"/>
  <c r="G367" i="5"/>
  <c r="L367" i="5"/>
  <c r="G286" i="5"/>
  <c r="O286" i="5"/>
  <c r="I286" i="5"/>
  <c r="J205" i="5"/>
  <c r="J243" i="5" s="1"/>
  <c r="K205" i="5"/>
  <c r="K243" i="5" s="1"/>
  <c r="L205" i="5"/>
  <c r="L239" i="5" s="1"/>
  <c r="E205" i="5"/>
  <c r="E243" i="5" s="1"/>
  <c r="M205" i="5"/>
  <c r="M239" i="5" s="1"/>
  <c r="M447" i="5"/>
  <c r="E447" i="5"/>
  <c r="J447" i="5"/>
  <c r="O447" i="5"/>
  <c r="G447" i="5"/>
  <c r="H367" i="5"/>
  <c r="K286" i="5"/>
  <c r="E286" i="5"/>
  <c r="M286" i="5"/>
  <c r="N205" i="5"/>
  <c r="N243" i="5" s="1"/>
  <c r="N247" i="5" s="1"/>
  <c r="N251" i="5" s="1"/>
  <c r="N261" i="5" s="1"/>
  <c r="G205" i="5"/>
  <c r="G239" i="5" s="1"/>
  <c r="O205" i="5"/>
  <c r="O239" i="5" s="1"/>
  <c r="H205" i="5"/>
  <c r="H239" i="5" s="1"/>
  <c r="I205" i="5"/>
  <c r="I243" i="5" s="1"/>
  <c r="M65" i="5"/>
  <c r="M70" i="5" s="1"/>
  <c r="I65" i="5"/>
  <c r="I70" i="5" s="1"/>
  <c r="E65" i="5"/>
  <c r="E70" i="5" s="1"/>
  <c r="N65" i="5"/>
  <c r="N70" i="5" s="1"/>
  <c r="J65" i="5"/>
  <c r="J70" i="5" s="1"/>
  <c r="F65" i="5"/>
  <c r="F70" i="5" s="1"/>
  <c r="E146" i="5"/>
  <c r="E151" i="5" s="1"/>
  <c r="J146" i="5"/>
  <c r="J151" i="5" s="1"/>
  <c r="I146" i="5"/>
  <c r="I151" i="5" s="1"/>
  <c r="L146" i="5"/>
  <c r="L151" i="5" s="1"/>
  <c r="K146" i="5"/>
  <c r="K151" i="5" s="1"/>
  <c r="F146" i="5"/>
  <c r="F151" i="5" s="1"/>
  <c r="N146" i="5"/>
  <c r="N151" i="5" s="1"/>
  <c r="M146" i="5"/>
  <c r="M151" i="5" s="1"/>
  <c r="H146" i="5"/>
  <c r="H151" i="5" s="1"/>
  <c r="G146" i="5"/>
  <c r="G151" i="5" s="1"/>
  <c r="O146" i="5"/>
  <c r="O151" i="5" s="1"/>
  <c r="E389" i="5"/>
  <c r="E394" i="5" s="1"/>
  <c r="E399" i="5" s="1"/>
  <c r="D389" i="5"/>
  <c r="D394" i="5" s="1"/>
  <c r="D399" i="5" s="1"/>
  <c r="L389" i="5"/>
  <c r="L394" i="5" s="1"/>
  <c r="L399" i="5" s="1"/>
  <c r="H389" i="5"/>
  <c r="H394" i="5" s="1"/>
  <c r="H399" i="5" s="1"/>
  <c r="O389" i="5"/>
  <c r="O394" i="5" s="1"/>
  <c r="O399" i="5" s="1"/>
  <c r="O419" i="5" s="1"/>
  <c r="K389" i="5"/>
  <c r="K394" i="5" s="1"/>
  <c r="K399" i="5" s="1"/>
  <c r="G389" i="5"/>
  <c r="G394" i="5" s="1"/>
  <c r="G399" i="5" s="1"/>
  <c r="N389" i="5"/>
  <c r="N394" i="5" s="1"/>
  <c r="N399" i="5" s="1"/>
  <c r="N419" i="5" s="1"/>
  <c r="J389" i="5"/>
  <c r="J394" i="5" s="1"/>
  <c r="J399" i="5" s="1"/>
  <c r="F389" i="5"/>
  <c r="F394" i="5" s="1"/>
  <c r="F399" i="5" s="1"/>
  <c r="M389" i="5"/>
  <c r="M394" i="5" s="1"/>
  <c r="M399" i="5" s="1"/>
  <c r="I389" i="5"/>
  <c r="I394" i="5" s="1"/>
  <c r="I399" i="5" s="1"/>
  <c r="D609" i="5"/>
  <c r="F609" i="5"/>
  <c r="J609" i="5"/>
  <c r="N609" i="5"/>
  <c r="H609" i="5"/>
  <c r="L609" i="5"/>
  <c r="O609" i="5"/>
  <c r="L369" i="5"/>
  <c r="I369" i="5"/>
  <c r="H449" i="5"/>
  <c r="G449" i="5"/>
  <c r="N449" i="5"/>
  <c r="O529" i="5"/>
  <c r="L449" i="5"/>
  <c r="F369" i="5"/>
  <c r="N369" i="5"/>
  <c r="D449" i="5"/>
  <c r="M369" i="5"/>
  <c r="M609" i="5"/>
  <c r="E609" i="5"/>
  <c r="G609" i="5"/>
  <c r="G529" i="5"/>
  <c r="L529" i="5"/>
  <c r="D529" i="5"/>
  <c r="M529" i="5"/>
  <c r="E529" i="5"/>
  <c r="N529" i="5"/>
  <c r="F529" i="5"/>
  <c r="E369" i="5"/>
  <c r="O449" i="5"/>
  <c r="J369" i="5"/>
  <c r="D369" i="5"/>
  <c r="J449" i="5"/>
  <c r="F449" i="5"/>
  <c r="M449" i="5"/>
  <c r="E449" i="5"/>
  <c r="L288" i="5"/>
  <c r="H288" i="5"/>
  <c r="I609" i="5"/>
  <c r="K609" i="5"/>
  <c r="K529" i="5"/>
  <c r="H529" i="5"/>
  <c r="I529" i="5"/>
  <c r="J529" i="5"/>
  <c r="I449" i="5"/>
  <c r="F288" i="5"/>
  <c r="N288" i="5"/>
  <c r="O369" i="5"/>
  <c r="K449" i="5"/>
  <c r="K288" i="5"/>
  <c r="I288" i="5"/>
  <c r="F207" i="5"/>
  <c r="F241" i="5" s="1"/>
  <c r="D124" i="5"/>
  <c r="N207" i="5"/>
  <c r="N245" i="5" s="1"/>
  <c r="G207" i="5"/>
  <c r="G245" i="5" s="1"/>
  <c r="G249" i="5" s="1"/>
  <c r="G253" i="5" s="1"/>
  <c r="G263" i="5" s="1"/>
  <c r="O207" i="5"/>
  <c r="O245" i="5" s="1"/>
  <c r="O249" i="5" s="1"/>
  <c r="O253" i="5" s="1"/>
  <c r="O263" i="5" s="1"/>
  <c r="H207" i="5"/>
  <c r="H245" i="5" s="1"/>
  <c r="H249" i="5" s="1"/>
  <c r="H253" i="5" s="1"/>
  <c r="H263" i="5" s="1"/>
  <c r="I207" i="5"/>
  <c r="I241" i="5" s="1"/>
  <c r="D288" i="5"/>
  <c r="H369" i="5"/>
  <c r="J288" i="5"/>
  <c r="G369" i="5"/>
  <c r="K369" i="5"/>
  <c r="G288" i="5"/>
  <c r="O288" i="5"/>
  <c r="E288" i="5"/>
  <c r="M288" i="5"/>
  <c r="J207" i="5"/>
  <c r="J241" i="5" s="1"/>
  <c r="K207" i="5"/>
  <c r="K241" i="5" s="1"/>
  <c r="L207" i="5"/>
  <c r="L245" i="5" s="1"/>
  <c r="L249" i="5" s="1"/>
  <c r="L253" i="5" s="1"/>
  <c r="L263" i="5" s="1"/>
  <c r="D207" i="5"/>
  <c r="E207" i="5"/>
  <c r="E245" i="5" s="1"/>
  <c r="E249" i="5" s="1"/>
  <c r="E253" i="5" s="1"/>
  <c r="E263" i="5" s="1"/>
  <c r="M207" i="5"/>
  <c r="M245" i="5" s="1"/>
  <c r="O65" i="5"/>
  <c r="O70" i="5" s="1"/>
  <c r="K65" i="5"/>
  <c r="K70" i="5" s="1"/>
  <c r="G65" i="5"/>
  <c r="G70" i="5" s="1"/>
  <c r="D65" i="5"/>
  <c r="D70" i="5" s="1"/>
  <c r="L65" i="5"/>
  <c r="L70" i="5" s="1"/>
  <c r="D35" i="5"/>
  <c r="K650" i="5"/>
  <c r="K654" i="5" s="1"/>
  <c r="K664" i="5" s="1"/>
  <c r="M650" i="5"/>
  <c r="M654" i="5" s="1"/>
  <c r="M664" i="5" s="1"/>
  <c r="H570" i="5"/>
  <c r="H574" i="5" s="1"/>
  <c r="H584" i="5" s="1"/>
  <c r="I570" i="5"/>
  <c r="I574" i="5" s="1"/>
  <c r="I584" i="5" s="1"/>
  <c r="N570" i="5"/>
  <c r="N574" i="5" s="1"/>
  <c r="N584" i="5" s="1"/>
  <c r="F490" i="5"/>
  <c r="F494" i="5" s="1"/>
  <c r="F504" i="5" s="1"/>
  <c r="J490" i="5"/>
  <c r="J494" i="5" s="1"/>
  <c r="J504" i="5" s="1"/>
  <c r="H490" i="5"/>
  <c r="H494" i="5" s="1"/>
  <c r="H504" i="5" s="1"/>
  <c r="D505" i="5"/>
  <c r="D503" i="5"/>
  <c r="D504" i="5"/>
  <c r="N490" i="5"/>
  <c r="N494" i="5" s="1"/>
  <c r="N504" i="5" s="1"/>
  <c r="E476" i="5"/>
  <c r="M476" i="5"/>
  <c r="J476" i="5"/>
  <c r="O476" i="5"/>
  <c r="F23" i="5"/>
  <c r="F24" i="5" s="1"/>
  <c r="F43" i="5" s="1"/>
  <c r="L423" i="5"/>
  <c r="L425" i="5"/>
  <c r="L424" i="5"/>
  <c r="J410" i="5"/>
  <c r="O424" i="5"/>
  <c r="M424" i="5"/>
  <c r="M423" i="5"/>
  <c r="M425" i="5"/>
  <c r="H423" i="5"/>
  <c r="H425" i="5"/>
  <c r="H424" i="5"/>
  <c r="N424" i="5"/>
  <c r="L410" i="5"/>
  <c r="L414" i="5" s="1"/>
  <c r="E424" i="5"/>
  <c r="K424" i="5"/>
  <c r="I424" i="5"/>
  <c r="I423" i="5"/>
  <c r="I425" i="5"/>
  <c r="J329" i="5"/>
  <c r="J333" i="5" s="1"/>
  <c r="J343" i="5" s="1"/>
  <c r="F329" i="5"/>
  <c r="F333" i="5" s="1"/>
  <c r="F343" i="5" s="1"/>
  <c r="K329" i="5"/>
  <c r="K333" i="5" s="1"/>
  <c r="K343" i="5" s="1"/>
  <c r="I329" i="5"/>
  <c r="I333" i="5" s="1"/>
  <c r="G329" i="5"/>
  <c r="G333" i="5" s="1"/>
  <c r="M329" i="5"/>
  <c r="M333" i="5" s="1"/>
  <c r="M343" i="5" s="1"/>
  <c r="N329" i="5"/>
  <c r="N333" i="5" s="1"/>
  <c r="N343" i="5" s="1"/>
  <c r="L329" i="5"/>
  <c r="L333" i="5" s="1"/>
  <c r="D248" i="5"/>
  <c r="D252" i="5" s="1"/>
  <c r="D262" i="5" s="1"/>
  <c r="N248" i="5"/>
  <c r="N252" i="5" s="1"/>
  <c r="N262" i="5" s="1"/>
  <c r="J248" i="5"/>
  <c r="J252" i="5" s="1"/>
  <c r="J262" i="5" s="1"/>
  <c r="K248" i="5"/>
  <c r="K252" i="5" s="1"/>
  <c r="K262" i="5" s="1"/>
  <c r="M248" i="5"/>
  <c r="M252" i="5" s="1"/>
  <c r="M262" i="5" s="1"/>
  <c r="O248" i="5"/>
  <c r="O252" i="5" s="1"/>
  <c r="O262" i="5" s="1"/>
  <c r="I248" i="5"/>
  <c r="I252" i="5" s="1"/>
  <c r="I262" i="5" s="1"/>
  <c r="E248" i="5"/>
  <c r="E252" i="5" s="1"/>
  <c r="E262" i="5" s="1"/>
  <c r="G248" i="5"/>
  <c r="G252" i="5" s="1"/>
  <c r="G262" i="5" s="1"/>
  <c r="G476" i="5"/>
  <c r="K476" i="5"/>
  <c r="I650" i="5"/>
  <c r="E650" i="5"/>
  <c r="G650" i="5"/>
  <c r="G654" i="5" s="1"/>
  <c r="G664" i="5" s="1"/>
  <c r="D410" i="5"/>
  <c r="D414" i="5" s="1"/>
  <c r="D424" i="5" s="1"/>
  <c r="F570" i="5"/>
  <c r="F574" i="5" s="1"/>
  <c r="F584" i="5" s="1"/>
  <c r="G570" i="5"/>
  <c r="G574" i="5" s="1"/>
  <c r="G584" i="5" s="1"/>
  <c r="D570" i="5"/>
  <c r="D574" i="5" s="1"/>
  <c r="D584" i="5" s="1"/>
  <c r="O329" i="5"/>
  <c r="O333" i="5" s="1"/>
  <c r="O343" i="5" s="1"/>
  <c r="E329" i="5"/>
  <c r="E333" i="5" s="1"/>
  <c r="E343" i="5" s="1"/>
  <c r="D329" i="5"/>
  <c r="D333" i="5" s="1"/>
  <c r="D343" i="5" s="1"/>
  <c r="L476" i="5"/>
  <c r="H476" i="5"/>
  <c r="F148" i="5"/>
  <c r="F153" i="5" s="1"/>
  <c r="H148" i="5"/>
  <c r="H153" i="5" s="1"/>
  <c r="J148" i="5"/>
  <c r="J153" i="5" s="1"/>
  <c r="L148" i="5"/>
  <c r="L153" i="5" s="1"/>
  <c r="N148" i="5"/>
  <c r="N153" i="5" s="1"/>
  <c r="D148" i="5"/>
  <c r="D153" i="5" s="1"/>
  <c r="D156" i="5" s="1"/>
  <c r="E148" i="5"/>
  <c r="E153" i="5" s="1"/>
  <c r="G148" i="5"/>
  <c r="G153" i="5" s="1"/>
  <c r="I148" i="5"/>
  <c r="I153" i="5" s="1"/>
  <c r="K148" i="5"/>
  <c r="K153" i="5" s="1"/>
  <c r="M148" i="5"/>
  <c r="M153" i="5" s="1"/>
  <c r="O148" i="5"/>
  <c r="O153" i="5" s="1"/>
  <c r="F240" i="5"/>
  <c r="F244" i="5"/>
  <c r="N240" i="5"/>
  <c r="D240" i="5"/>
  <c r="J240" i="5"/>
  <c r="H244" i="5"/>
  <c r="L244" i="5"/>
  <c r="D152" i="5"/>
  <c r="D676" i="5"/>
  <c r="L149" i="5"/>
  <c r="L155" i="5" s="1"/>
  <c r="H149" i="5"/>
  <c r="H155" i="5" s="1"/>
  <c r="O149" i="5"/>
  <c r="O155" i="5" s="1"/>
  <c r="K149" i="5"/>
  <c r="K155" i="5" s="1"/>
  <c r="G149" i="5"/>
  <c r="G155" i="5" s="1"/>
  <c r="N149" i="5"/>
  <c r="N155" i="5" s="1"/>
  <c r="J149" i="5"/>
  <c r="J155" i="5" s="1"/>
  <c r="F149" i="5"/>
  <c r="F155" i="5" s="1"/>
  <c r="M149" i="5"/>
  <c r="M155" i="5" s="1"/>
  <c r="I149" i="5"/>
  <c r="I155" i="5" s="1"/>
  <c r="E149" i="5"/>
  <c r="E155" i="5" s="1"/>
  <c r="J37" i="5"/>
  <c r="J35" i="5"/>
  <c r="J36" i="5"/>
  <c r="N37" i="5"/>
  <c r="N35" i="5"/>
  <c r="N36" i="5"/>
  <c r="E36" i="5"/>
  <c r="E37" i="5"/>
  <c r="E35" i="5"/>
  <c r="I36" i="5"/>
  <c r="I37" i="5"/>
  <c r="I35" i="5"/>
  <c r="M36" i="5"/>
  <c r="M37" i="5"/>
  <c r="M35" i="5"/>
  <c r="F37" i="5"/>
  <c r="F35" i="5"/>
  <c r="F36" i="5"/>
  <c r="H37" i="5"/>
  <c r="H35" i="5"/>
  <c r="H36" i="5"/>
  <c r="L37" i="5"/>
  <c r="L35" i="5"/>
  <c r="L36" i="5"/>
  <c r="D37" i="5"/>
  <c r="D36" i="5"/>
  <c r="G36" i="5"/>
  <c r="G37" i="5"/>
  <c r="G35" i="5"/>
  <c r="K36" i="5"/>
  <c r="K37" i="5"/>
  <c r="K35" i="5"/>
  <c r="O36" i="5"/>
  <c r="O37" i="5"/>
  <c r="O35" i="5"/>
  <c r="H70" i="5"/>
  <c r="D17" i="5"/>
  <c r="D18" i="5" s="1"/>
  <c r="D42" i="5" s="1"/>
  <c r="N17" i="5"/>
  <c r="N18" i="5" s="1"/>
  <c r="N42" i="5" s="1"/>
  <c r="L17" i="5"/>
  <c r="L18" i="5" s="1"/>
  <c r="L42" i="5" s="1"/>
  <c r="J17" i="5"/>
  <c r="J18" i="5" s="1"/>
  <c r="J42" i="5" s="1"/>
  <c r="H17" i="5"/>
  <c r="H18" i="5" s="1"/>
  <c r="H42" i="5" s="1"/>
  <c r="F17" i="5"/>
  <c r="F18" i="5" s="1"/>
  <c r="F42" i="5" s="1"/>
  <c r="O17" i="5"/>
  <c r="O19" i="5" s="1"/>
  <c r="M17" i="5"/>
  <c r="M18" i="5" s="1"/>
  <c r="M42" i="5" s="1"/>
  <c r="K17" i="5"/>
  <c r="K18" i="5" s="1"/>
  <c r="K42" i="5" s="1"/>
  <c r="I17" i="5"/>
  <c r="I18" i="5" s="1"/>
  <c r="I42" i="5" s="1"/>
  <c r="G17" i="5"/>
  <c r="G18" i="5" s="1"/>
  <c r="G42" i="5" s="1"/>
  <c r="E17" i="5"/>
  <c r="E18" i="5" s="1"/>
  <c r="E42" i="5" s="1"/>
  <c r="N11" i="5"/>
  <c r="N12" i="5" s="1"/>
  <c r="N41" i="5" s="1"/>
  <c r="L11" i="5"/>
  <c r="L12" i="5" s="1"/>
  <c r="L41" i="5" s="1"/>
  <c r="J11" i="5"/>
  <c r="J12" i="5" s="1"/>
  <c r="J41" i="5" s="1"/>
  <c r="O25" i="5"/>
  <c r="O24" i="5"/>
  <c r="O43" i="5" s="1"/>
  <c r="K25" i="5"/>
  <c r="K24" i="5"/>
  <c r="K43" i="5" s="1"/>
  <c r="E25" i="5"/>
  <c r="E24" i="5"/>
  <c r="E43" i="5" s="1"/>
  <c r="D25" i="5"/>
  <c r="D24" i="5"/>
  <c r="D43" i="5" s="1"/>
  <c r="N25" i="5"/>
  <c r="N24" i="5"/>
  <c r="N43" i="5" s="1"/>
  <c r="J25" i="5"/>
  <c r="J24" i="5"/>
  <c r="J43" i="5" s="1"/>
  <c r="M25" i="5"/>
  <c r="M24" i="5"/>
  <c r="M43" i="5" s="1"/>
  <c r="L25" i="5"/>
  <c r="L24" i="5"/>
  <c r="L43" i="5" s="1"/>
  <c r="I25" i="5"/>
  <c r="I24" i="5"/>
  <c r="I43" i="5" s="1"/>
  <c r="H25" i="5"/>
  <c r="H24" i="5"/>
  <c r="H43" i="5" s="1"/>
  <c r="G25" i="5"/>
  <c r="G24" i="5"/>
  <c r="G43" i="5" s="1"/>
  <c r="D11" i="5"/>
  <c r="D12" i="5" s="1"/>
  <c r="D41" i="5" s="1"/>
  <c r="H11" i="5"/>
  <c r="E11" i="5"/>
  <c r="O11" i="5"/>
  <c r="M11" i="5"/>
  <c r="K11" i="5"/>
  <c r="I11" i="5"/>
  <c r="G11" i="5"/>
  <c r="F11" i="5"/>
  <c r="A73" i="3"/>
  <c r="R65" i="7" l="1"/>
  <c r="X72" i="7"/>
  <c r="C250" i="6" s="1"/>
  <c r="H379" i="6" s="1"/>
  <c r="I17" i="4" s="1"/>
  <c r="R17" i="4" s="1"/>
  <c r="R72" i="7"/>
  <c r="C167" i="6" s="1"/>
  <c r="H377" i="6" s="1"/>
  <c r="I15" i="4" s="1"/>
  <c r="R15" i="4" s="1"/>
  <c r="X65" i="7"/>
  <c r="M243" i="5"/>
  <c r="M247" i="5" s="1"/>
  <c r="D76" i="5"/>
  <c r="L337" i="5"/>
  <c r="D73" i="5"/>
  <c r="P378" i="6"/>
  <c r="Q378" i="6" s="1"/>
  <c r="I378" i="6" s="1"/>
  <c r="J16" i="4" s="1"/>
  <c r="S16" i="4" s="1"/>
  <c r="G374" i="6"/>
  <c r="F374" i="6" s="1"/>
  <c r="E374" i="6" s="1"/>
  <c r="P376" i="6"/>
  <c r="Q376" i="6" s="1"/>
  <c r="I376" i="6" s="1"/>
  <c r="J14" i="4" s="1"/>
  <c r="S14" i="4" s="1"/>
  <c r="M338" i="5"/>
  <c r="J156" i="5"/>
  <c r="L241" i="5"/>
  <c r="K156" i="5"/>
  <c r="H156" i="5"/>
  <c r="O243" i="5"/>
  <c r="O247" i="5" s="1"/>
  <c r="O251" i="5" s="1"/>
  <c r="O261" i="5" s="1"/>
  <c r="K245" i="5"/>
  <c r="K249" i="5" s="1"/>
  <c r="G241" i="5"/>
  <c r="G337" i="5"/>
  <c r="M339" i="5"/>
  <c r="I239" i="5"/>
  <c r="L243" i="5"/>
  <c r="L247" i="5" s="1"/>
  <c r="D243" i="5"/>
  <c r="D247" i="5" s="1"/>
  <c r="D251" i="5" s="1"/>
  <c r="D261" i="5" s="1"/>
  <c r="F156" i="5"/>
  <c r="L338" i="5"/>
  <c r="N239" i="5"/>
  <c r="F243" i="5"/>
  <c r="F247" i="5" s="1"/>
  <c r="G156" i="5"/>
  <c r="G338" i="5"/>
  <c r="N241" i="5"/>
  <c r="F25" i="5"/>
  <c r="J338" i="5"/>
  <c r="O156" i="5"/>
  <c r="I245" i="5"/>
  <c r="I249" i="5" s="1"/>
  <c r="I253" i="5" s="1"/>
  <c r="I263" i="5" s="1"/>
  <c r="N19" i="5"/>
  <c r="F245" i="5"/>
  <c r="F249" i="5" s="1"/>
  <c r="E239" i="5"/>
  <c r="J239" i="5"/>
  <c r="M19" i="5"/>
  <c r="L156" i="5"/>
  <c r="H338" i="5"/>
  <c r="H241" i="5"/>
  <c r="H243" i="5"/>
  <c r="H247" i="5" s="1"/>
  <c r="M156" i="5"/>
  <c r="M241" i="5"/>
  <c r="H339" i="5"/>
  <c r="O241" i="5"/>
  <c r="I337" i="5"/>
  <c r="K239" i="5"/>
  <c r="O338" i="5"/>
  <c r="N338" i="5"/>
  <c r="D338" i="5"/>
  <c r="G243" i="5"/>
  <c r="G247" i="5" s="1"/>
  <c r="E241" i="5"/>
  <c r="J245" i="5"/>
  <c r="J249" i="5" s="1"/>
  <c r="I156" i="5"/>
  <c r="E156" i="5"/>
  <c r="N156" i="5"/>
  <c r="I338" i="5"/>
  <c r="D241" i="5"/>
  <c r="D245" i="5"/>
  <c r="D249" i="5" s="1"/>
  <c r="D253" i="5" s="1"/>
  <c r="D263" i="5" s="1"/>
  <c r="M322" i="5"/>
  <c r="M326" i="5"/>
  <c r="M330" i="5" s="1"/>
  <c r="M334" i="5" s="1"/>
  <c r="M344" i="5" s="1"/>
  <c r="O322" i="5"/>
  <c r="O326" i="5"/>
  <c r="O330" i="5" s="1"/>
  <c r="O334" i="5" s="1"/>
  <c r="O344" i="5" s="1"/>
  <c r="K403" i="5"/>
  <c r="K407" i="5"/>
  <c r="K411" i="5" s="1"/>
  <c r="J326" i="5"/>
  <c r="J330" i="5" s="1"/>
  <c r="J334" i="5" s="1"/>
  <c r="J344" i="5" s="1"/>
  <c r="J322" i="5"/>
  <c r="D326" i="5"/>
  <c r="D330" i="5" s="1"/>
  <c r="D334" i="5" s="1"/>
  <c r="D344" i="5" s="1"/>
  <c r="D322" i="5"/>
  <c r="I322" i="5"/>
  <c r="I326" i="5"/>
  <c r="I330" i="5" s="1"/>
  <c r="I334" i="5" s="1"/>
  <c r="K483" i="5"/>
  <c r="K487" i="5"/>
  <c r="K491" i="5" s="1"/>
  <c r="K495" i="5" s="1"/>
  <c r="K505" i="5" s="1"/>
  <c r="N322" i="5"/>
  <c r="N326" i="5"/>
  <c r="N330" i="5" s="1"/>
  <c r="N334" i="5" s="1"/>
  <c r="N344" i="5" s="1"/>
  <c r="I483" i="5"/>
  <c r="I487" i="5"/>
  <c r="I491" i="5" s="1"/>
  <c r="I495" i="5" s="1"/>
  <c r="I505" i="5" s="1"/>
  <c r="I567" i="5"/>
  <c r="I571" i="5" s="1"/>
  <c r="I575" i="5" s="1"/>
  <c r="I585" i="5" s="1"/>
  <c r="I563" i="5"/>
  <c r="K567" i="5"/>
  <c r="K571" i="5" s="1"/>
  <c r="K575" i="5" s="1"/>
  <c r="K585" i="5" s="1"/>
  <c r="K563" i="5"/>
  <c r="I647" i="5"/>
  <c r="I651" i="5" s="1"/>
  <c r="I643" i="5"/>
  <c r="L326" i="5"/>
  <c r="L330" i="5" s="1"/>
  <c r="L334" i="5" s="1"/>
  <c r="L322" i="5"/>
  <c r="M483" i="5"/>
  <c r="M487" i="5"/>
  <c r="M491" i="5" s="1"/>
  <c r="M495" i="5" s="1"/>
  <c r="M505" i="5" s="1"/>
  <c r="J483" i="5"/>
  <c r="J487" i="5"/>
  <c r="J491" i="5" s="1"/>
  <c r="J495" i="5" s="1"/>
  <c r="J505" i="5" s="1"/>
  <c r="J403" i="5"/>
  <c r="J407" i="5"/>
  <c r="J411" i="5" s="1"/>
  <c r="J415" i="5" s="1"/>
  <c r="J425" i="5" s="1"/>
  <c r="E407" i="5"/>
  <c r="E411" i="5" s="1"/>
  <c r="E415" i="5" s="1"/>
  <c r="E425" i="5" s="1"/>
  <c r="E403" i="5"/>
  <c r="N567" i="5"/>
  <c r="N571" i="5" s="1"/>
  <c r="N575" i="5" s="1"/>
  <c r="N585" i="5" s="1"/>
  <c r="N563" i="5"/>
  <c r="M567" i="5"/>
  <c r="M571" i="5" s="1"/>
  <c r="M575" i="5" s="1"/>
  <c r="M585" i="5" s="1"/>
  <c r="M563" i="5"/>
  <c r="L567" i="5"/>
  <c r="L571" i="5" s="1"/>
  <c r="L575" i="5" s="1"/>
  <c r="L585" i="5" s="1"/>
  <c r="L563" i="5"/>
  <c r="G643" i="5"/>
  <c r="G647" i="5"/>
  <c r="G651" i="5" s="1"/>
  <c r="G655" i="5" s="1"/>
  <c r="G665" i="5" s="1"/>
  <c r="M647" i="5"/>
  <c r="M651" i="5" s="1"/>
  <c r="M643" i="5"/>
  <c r="D483" i="5"/>
  <c r="D487" i="5"/>
  <c r="D491" i="5" s="1"/>
  <c r="D495" i="5" s="1"/>
  <c r="F407" i="5"/>
  <c r="F411" i="5" s="1"/>
  <c r="F415" i="5" s="1"/>
  <c r="F425" i="5" s="1"/>
  <c r="F403" i="5"/>
  <c r="O563" i="5"/>
  <c r="O567" i="5"/>
  <c r="O571" i="5" s="1"/>
  <c r="O575" i="5" s="1"/>
  <c r="O585" i="5" s="1"/>
  <c r="G487" i="5"/>
  <c r="G491" i="5" s="1"/>
  <c r="G495" i="5" s="1"/>
  <c r="G505" i="5" s="1"/>
  <c r="G483" i="5"/>
  <c r="I407" i="5"/>
  <c r="I411" i="5" s="1"/>
  <c r="I415" i="5" s="1"/>
  <c r="I403" i="5"/>
  <c r="O647" i="5"/>
  <c r="O651" i="5" s="1"/>
  <c r="O655" i="5" s="1"/>
  <c r="O665" i="5" s="1"/>
  <c r="O643" i="5"/>
  <c r="H647" i="5"/>
  <c r="H651" i="5" s="1"/>
  <c r="H655" i="5" s="1"/>
  <c r="H665" i="5" s="1"/>
  <c r="H643" i="5"/>
  <c r="J647" i="5"/>
  <c r="J651" i="5" s="1"/>
  <c r="J655" i="5" s="1"/>
  <c r="J665" i="5" s="1"/>
  <c r="J643" i="5"/>
  <c r="D647" i="5"/>
  <c r="D651" i="5" s="1"/>
  <c r="D655" i="5" s="1"/>
  <c r="D643" i="5"/>
  <c r="M418" i="5"/>
  <c r="M419" i="5"/>
  <c r="M420" i="5"/>
  <c r="G418" i="5"/>
  <c r="G419" i="5"/>
  <c r="G420" i="5"/>
  <c r="L419" i="5"/>
  <c r="L420" i="5"/>
  <c r="L418" i="5"/>
  <c r="E419" i="5"/>
  <c r="E320" i="5"/>
  <c r="E324" i="5"/>
  <c r="E328" i="5" s="1"/>
  <c r="E332" i="5" s="1"/>
  <c r="E342" i="5" s="1"/>
  <c r="H405" i="5"/>
  <c r="H409" i="5" s="1"/>
  <c r="H413" i="5" s="1"/>
  <c r="H401" i="5"/>
  <c r="O481" i="5"/>
  <c r="O485" i="5"/>
  <c r="O489" i="5" s="1"/>
  <c r="O493" i="5" s="1"/>
  <c r="O503" i="5" s="1"/>
  <c r="E485" i="5"/>
  <c r="E489" i="5" s="1"/>
  <c r="E493" i="5" s="1"/>
  <c r="E503" i="5" s="1"/>
  <c r="E481" i="5"/>
  <c r="O320" i="5"/>
  <c r="O324" i="5"/>
  <c r="O328" i="5" s="1"/>
  <c r="O332" i="5" s="1"/>
  <c r="O342" i="5" s="1"/>
  <c r="L405" i="5"/>
  <c r="L409" i="5" s="1"/>
  <c r="L413" i="5" s="1"/>
  <c r="L401" i="5"/>
  <c r="O405" i="5"/>
  <c r="O409" i="5" s="1"/>
  <c r="O413" i="5" s="1"/>
  <c r="O423" i="5" s="1"/>
  <c r="O401" i="5"/>
  <c r="F485" i="5"/>
  <c r="F489" i="5" s="1"/>
  <c r="F493" i="5" s="1"/>
  <c r="F503" i="5" s="1"/>
  <c r="F481" i="5"/>
  <c r="J565" i="5"/>
  <c r="J569" i="5" s="1"/>
  <c r="J573" i="5" s="1"/>
  <c r="J583" i="5" s="1"/>
  <c r="J561" i="5"/>
  <c r="H565" i="5"/>
  <c r="H569" i="5" s="1"/>
  <c r="H573" i="5" s="1"/>
  <c r="H583" i="5" s="1"/>
  <c r="H561" i="5"/>
  <c r="K641" i="5"/>
  <c r="K645" i="5"/>
  <c r="K649" i="5" s="1"/>
  <c r="K653" i="5" s="1"/>
  <c r="K663" i="5" s="1"/>
  <c r="I401" i="5"/>
  <c r="I405" i="5"/>
  <c r="I409" i="5" s="1"/>
  <c r="I413" i="5" s="1"/>
  <c r="H485" i="5"/>
  <c r="H489" i="5" s="1"/>
  <c r="H493" i="5" s="1"/>
  <c r="H503" i="5" s="1"/>
  <c r="H481" i="5"/>
  <c r="N405" i="5"/>
  <c r="N409" i="5" s="1"/>
  <c r="N413" i="5" s="1"/>
  <c r="N423" i="5" s="1"/>
  <c r="N401" i="5"/>
  <c r="O565" i="5"/>
  <c r="O569" i="5" s="1"/>
  <c r="O573" i="5" s="1"/>
  <c r="O583" i="5" s="1"/>
  <c r="O561" i="5"/>
  <c r="D485" i="5"/>
  <c r="D489" i="5" s="1"/>
  <c r="D493" i="5" s="1"/>
  <c r="D481" i="5"/>
  <c r="F320" i="5"/>
  <c r="F324" i="5"/>
  <c r="F328" i="5" s="1"/>
  <c r="F332" i="5" s="1"/>
  <c r="F342" i="5" s="1"/>
  <c r="F565" i="5"/>
  <c r="F569" i="5" s="1"/>
  <c r="F573" i="5" s="1"/>
  <c r="F583" i="5" s="1"/>
  <c r="F561" i="5"/>
  <c r="E565" i="5"/>
  <c r="E569" i="5" s="1"/>
  <c r="E573" i="5" s="1"/>
  <c r="E583" i="5" s="1"/>
  <c r="E561" i="5"/>
  <c r="L565" i="5"/>
  <c r="L569" i="5" s="1"/>
  <c r="L573" i="5" s="1"/>
  <c r="L583" i="5" s="1"/>
  <c r="L561" i="5"/>
  <c r="G641" i="5"/>
  <c r="G645" i="5"/>
  <c r="G649" i="5" s="1"/>
  <c r="M641" i="5"/>
  <c r="M645" i="5"/>
  <c r="M649" i="5" s="1"/>
  <c r="I481" i="5"/>
  <c r="I485" i="5"/>
  <c r="I489" i="5" s="1"/>
  <c r="I493" i="5" s="1"/>
  <c r="I503" i="5" s="1"/>
  <c r="K481" i="5"/>
  <c r="K485" i="5"/>
  <c r="K489" i="5" s="1"/>
  <c r="K493" i="5" s="1"/>
  <c r="K503" i="5" s="1"/>
  <c r="K405" i="5"/>
  <c r="K409" i="5" s="1"/>
  <c r="K413" i="5" s="1"/>
  <c r="K423" i="5" s="1"/>
  <c r="K401" i="5"/>
  <c r="D561" i="5"/>
  <c r="D565" i="5"/>
  <c r="D569" i="5" s="1"/>
  <c r="D573" i="5" s="1"/>
  <c r="D583" i="5" s="1"/>
  <c r="L641" i="5"/>
  <c r="L645" i="5"/>
  <c r="L649" i="5" s="1"/>
  <c r="L653" i="5" s="1"/>
  <c r="L663" i="5" s="1"/>
  <c r="N641" i="5"/>
  <c r="N645" i="5"/>
  <c r="N649" i="5" s="1"/>
  <c r="N653" i="5" s="1"/>
  <c r="N663" i="5" s="1"/>
  <c r="F641" i="5"/>
  <c r="F645" i="5"/>
  <c r="F649" i="5" s="1"/>
  <c r="F653" i="5" s="1"/>
  <c r="F663" i="5" s="1"/>
  <c r="E227" i="5"/>
  <c r="E232" i="5" s="1"/>
  <c r="E237" i="5" s="1"/>
  <c r="D227" i="5"/>
  <c r="D232" i="5" s="1"/>
  <c r="D237" i="5" s="1"/>
  <c r="D257" i="5" s="1"/>
  <c r="L227" i="5"/>
  <c r="L232" i="5" s="1"/>
  <c r="L237" i="5" s="1"/>
  <c r="H227" i="5"/>
  <c r="H232" i="5" s="1"/>
  <c r="H237" i="5" s="1"/>
  <c r="O227" i="5"/>
  <c r="O232" i="5" s="1"/>
  <c r="O237" i="5" s="1"/>
  <c r="K227" i="5"/>
  <c r="K232" i="5" s="1"/>
  <c r="K237" i="5" s="1"/>
  <c r="G227" i="5"/>
  <c r="G232" i="5" s="1"/>
  <c r="G237" i="5" s="1"/>
  <c r="N227" i="5"/>
  <c r="N232" i="5" s="1"/>
  <c r="N237" i="5" s="1"/>
  <c r="J227" i="5"/>
  <c r="J232" i="5" s="1"/>
  <c r="J237" i="5" s="1"/>
  <c r="F227" i="5"/>
  <c r="F232" i="5" s="1"/>
  <c r="F237" i="5" s="1"/>
  <c r="M227" i="5"/>
  <c r="M232" i="5" s="1"/>
  <c r="M237" i="5" s="1"/>
  <c r="I227" i="5"/>
  <c r="I232" i="5" s="1"/>
  <c r="I237" i="5" s="1"/>
  <c r="E469" i="5"/>
  <c r="N469" i="5"/>
  <c r="J469" i="5"/>
  <c r="F469" i="5"/>
  <c r="M469" i="5"/>
  <c r="I469" i="5"/>
  <c r="D469" i="5"/>
  <c r="L469" i="5"/>
  <c r="H469" i="5"/>
  <c r="O469" i="5"/>
  <c r="K469" i="5"/>
  <c r="G469" i="5"/>
  <c r="E322" i="5"/>
  <c r="E326" i="5"/>
  <c r="E330" i="5" s="1"/>
  <c r="E334" i="5" s="1"/>
  <c r="E344" i="5" s="1"/>
  <c r="G322" i="5"/>
  <c r="G326" i="5"/>
  <c r="G330" i="5" s="1"/>
  <c r="G334" i="5" s="1"/>
  <c r="G403" i="5"/>
  <c r="G407" i="5"/>
  <c r="G411" i="5" s="1"/>
  <c r="G415" i="5" s="1"/>
  <c r="G425" i="5" s="1"/>
  <c r="H407" i="5"/>
  <c r="H411" i="5" s="1"/>
  <c r="H415" i="5" s="1"/>
  <c r="H403" i="5"/>
  <c r="K322" i="5"/>
  <c r="K326" i="5"/>
  <c r="K330" i="5" s="1"/>
  <c r="K334" i="5" s="1"/>
  <c r="K344" i="5" s="1"/>
  <c r="O403" i="5"/>
  <c r="O407" i="5"/>
  <c r="O411" i="5" s="1"/>
  <c r="F326" i="5"/>
  <c r="F330" i="5" s="1"/>
  <c r="F334" i="5" s="1"/>
  <c r="F344" i="5" s="1"/>
  <c r="F322" i="5"/>
  <c r="J567" i="5"/>
  <c r="J571" i="5" s="1"/>
  <c r="J575" i="5" s="1"/>
  <c r="J585" i="5" s="1"/>
  <c r="J563" i="5"/>
  <c r="H567" i="5"/>
  <c r="H571" i="5" s="1"/>
  <c r="H575" i="5" s="1"/>
  <c r="H585" i="5" s="1"/>
  <c r="H563" i="5"/>
  <c r="K643" i="5"/>
  <c r="K647" i="5"/>
  <c r="K651" i="5" s="1"/>
  <c r="K655" i="5" s="1"/>
  <c r="K665" i="5" s="1"/>
  <c r="H322" i="5"/>
  <c r="H326" i="5"/>
  <c r="H330" i="5" s="1"/>
  <c r="H334" i="5" s="1"/>
  <c r="E483" i="5"/>
  <c r="E487" i="5"/>
  <c r="E491" i="5" s="1"/>
  <c r="E495" i="5" s="1"/>
  <c r="E505" i="5" s="1"/>
  <c r="F483" i="5"/>
  <c r="F487" i="5"/>
  <c r="F491" i="5" s="1"/>
  <c r="F495" i="5" s="1"/>
  <c r="F505" i="5" s="1"/>
  <c r="D403" i="5"/>
  <c r="D407" i="5"/>
  <c r="D411" i="5" s="1"/>
  <c r="D415" i="5" s="1"/>
  <c r="D425" i="5" s="1"/>
  <c r="O483" i="5"/>
  <c r="O487" i="5"/>
  <c r="O491" i="5" s="1"/>
  <c r="O495" i="5" s="1"/>
  <c r="O505" i="5" s="1"/>
  <c r="F567" i="5"/>
  <c r="F571" i="5" s="1"/>
  <c r="F575" i="5" s="1"/>
  <c r="F585" i="5" s="1"/>
  <c r="F563" i="5"/>
  <c r="E563" i="5"/>
  <c r="E567" i="5"/>
  <c r="E571" i="5" s="1"/>
  <c r="E575" i="5" s="1"/>
  <c r="E585" i="5" s="1"/>
  <c r="D567" i="5"/>
  <c r="D571" i="5" s="1"/>
  <c r="D575" i="5" s="1"/>
  <c r="D585" i="5" s="1"/>
  <c r="D563" i="5"/>
  <c r="G567" i="5"/>
  <c r="G571" i="5" s="1"/>
  <c r="G575" i="5" s="1"/>
  <c r="G585" i="5" s="1"/>
  <c r="G563" i="5"/>
  <c r="E647" i="5"/>
  <c r="E651" i="5" s="1"/>
  <c r="E655" i="5" s="1"/>
  <c r="E665" i="5" s="1"/>
  <c r="E643" i="5"/>
  <c r="M403" i="5"/>
  <c r="M407" i="5"/>
  <c r="M411" i="5" s="1"/>
  <c r="M415" i="5" s="1"/>
  <c r="N407" i="5"/>
  <c r="N411" i="5" s="1"/>
  <c r="N415" i="5" s="1"/>
  <c r="N425" i="5" s="1"/>
  <c r="N403" i="5"/>
  <c r="L487" i="5"/>
  <c r="L491" i="5" s="1"/>
  <c r="L495" i="5" s="1"/>
  <c r="L505" i="5" s="1"/>
  <c r="L483" i="5"/>
  <c r="N483" i="5"/>
  <c r="N487" i="5"/>
  <c r="N491" i="5" s="1"/>
  <c r="N495" i="5" s="1"/>
  <c r="N505" i="5" s="1"/>
  <c r="H483" i="5"/>
  <c r="H487" i="5"/>
  <c r="H491" i="5" s="1"/>
  <c r="H495" i="5" s="1"/>
  <c r="H505" i="5" s="1"/>
  <c r="L403" i="5"/>
  <c r="L407" i="5"/>
  <c r="L411" i="5" s="1"/>
  <c r="L415" i="5" s="1"/>
  <c r="L647" i="5"/>
  <c r="L651" i="5" s="1"/>
  <c r="L655" i="5" s="1"/>
  <c r="L665" i="5" s="1"/>
  <c r="L643" i="5"/>
  <c r="N647" i="5"/>
  <c r="N651" i="5" s="1"/>
  <c r="N655" i="5" s="1"/>
  <c r="N643" i="5"/>
  <c r="F647" i="5"/>
  <c r="F651" i="5" s="1"/>
  <c r="F655" i="5" s="1"/>
  <c r="F665" i="5" s="1"/>
  <c r="F643" i="5"/>
  <c r="I420" i="5"/>
  <c r="I418" i="5"/>
  <c r="I419" i="5"/>
  <c r="F419" i="5"/>
  <c r="K419" i="5"/>
  <c r="H418" i="5"/>
  <c r="H419" i="5"/>
  <c r="H420" i="5"/>
  <c r="M320" i="5"/>
  <c r="M324" i="5"/>
  <c r="M328" i="5" s="1"/>
  <c r="M332" i="5" s="1"/>
  <c r="M342" i="5" s="1"/>
  <c r="K320" i="5"/>
  <c r="K324" i="5"/>
  <c r="K328" i="5" s="1"/>
  <c r="K332" i="5" s="1"/>
  <c r="K342" i="5" s="1"/>
  <c r="G481" i="5"/>
  <c r="G485" i="5"/>
  <c r="G489" i="5" s="1"/>
  <c r="G493" i="5" s="1"/>
  <c r="G503" i="5" s="1"/>
  <c r="J485" i="5"/>
  <c r="J489" i="5" s="1"/>
  <c r="J493" i="5" s="1"/>
  <c r="J503" i="5" s="1"/>
  <c r="J481" i="5"/>
  <c r="M485" i="5"/>
  <c r="M489" i="5" s="1"/>
  <c r="M493" i="5" s="1"/>
  <c r="M503" i="5" s="1"/>
  <c r="M481" i="5"/>
  <c r="I320" i="5"/>
  <c r="I324" i="5"/>
  <c r="I328" i="5" s="1"/>
  <c r="I332" i="5" s="1"/>
  <c r="G320" i="5"/>
  <c r="G324" i="5"/>
  <c r="G328" i="5" s="1"/>
  <c r="G332" i="5" s="1"/>
  <c r="G405" i="5"/>
  <c r="G409" i="5" s="1"/>
  <c r="G413" i="5" s="1"/>
  <c r="G423" i="5" s="1"/>
  <c r="G401" i="5"/>
  <c r="D405" i="5"/>
  <c r="D409" i="5" s="1"/>
  <c r="D413" i="5" s="1"/>
  <c r="D423" i="5" s="1"/>
  <c r="D401" i="5"/>
  <c r="N485" i="5"/>
  <c r="N489" i="5" s="1"/>
  <c r="N493" i="5" s="1"/>
  <c r="N503" i="5" s="1"/>
  <c r="N481" i="5"/>
  <c r="I565" i="5"/>
  <c r="I569" i="5" s="1"/>
  <c r="I573" i="5" s="1"/>
  <c r="I583" i="5" s="1"/>
  <c r="I561" i="5"/>
  <c r="K565" i="5"/>
  <c r="K569" i="5" s="1"/>
  <c r="K573" i="5" s="1"/>
  <c r="K583" i="5" s="1"/>
  <c r="K561" i="5"/>
  <c r="I641" i="5"/>
  <c r="I645" i="5"/>
  <c r="I649" i="5" s="1"/>
  <c r="I653" i="5" s="1"/>
  <c r="I663" i="5" s="1"/>
  <c r="E401" i="5"/>
  <c r="E405" i="5"/>
  <c r="E409" i="5" s="1"/>
  <c r="F405" i="5"/>
  <c r="F409" i="5" s="1"/>
  <c r="F413" i="5" s="1"/>
  <c r="F423" i="5" s="1"/>
  <c r="F401" i="5"/>
  <c r="L320" i="5"/>
  <c r="L324" i="5"/>
  <c r="L328" i="5" s="1"/>
  <c r="L332" i="5" s="1"/>
  <c r="M401" i="5"/>
  <c r="M405" i="5"/>
  <c r="M409" i="5" s="1"/>
  <c r="M413" i="5" s="1"/>
  <c r="N320" i="5"/>
  <c r="N324" i="5"/>
  <c r="N328" i="5" s="1"/>
  <c r="N332" i="5" s="1"/>
  <c r="N342" i="5" s="1"/>
  <c r="N565" i="5"/>
  <c r="N569" i="5" s="1"/>
  <c r="N573" i="5" s="1"/>
  <c r="N583" i="5" s="1"/>
  <c r="N561" i="5"/>
  <c r="M565" i="5"/>
  <c r="M569" i="5" s="1"/>
  <c r="M573" i="5" s="1"/>
  <c r="M583" i="5" s="1"/>
  <c r="M561" i="5"/>
  <c r="G565" i="5"/>
  <c r="G569" i="5" s="1"/>
  <c r="G573" i="5" s="1"/>
  <c r="G583" i="5" s="1"/>
  <c r="G561" i="5"/>
  <c r="E645" i="5"/>
  <c r="E649" i="5" s="1"/>
  <c r="E653" i="5" s="1"/>
  <c r="E663" i="5" s="1"/>
  <c r="E641" i="5"/>
  <c r="J405" i="5"/>
  <c r="J409" i="5" s="1"/>
  <c r="J401" i="5"/>
  <c r="L485" i="5"/>
  <c r="L489" i="5" s="1"/>
  <c r="L493" i="5" s="1"/>
  <c r="L503" i="5" s="1"/>
  <c r="L481" i="5"/>
  <c r="H320" i="5"/>
  <c r="H324" i="5"/>
  <c r="H328" i="5" s="1"/>
  <c r="H332" i="5" s="1"/>
  <c r="D320" i="5"/>
  <c r="D324" i="5"/>
  <c r="D328" i="5" s="1"/>
  <c r="D332" i="5" s="1"/>
  <c r="D342" i="5" s="1"/>
  <c r="J320" i="5"/>
  <c r="J324" i="5"/>
  <c r="J328" i="5" s="1"/>
  <c r="J332" i="5" s="1"/>
  <c r="J342" i="5" s="1"/>
  <c r="O645" i="5"/>
  <c r="O649" i="5" s="1"/>
  <c r="O653" i="5" s="1"/>
  <c r="O641" i="5"/>
  <c r="H641" i="5"/>
  <c r="H645" i="5"/>
  <c r="H649" i="5" s="1"/>
  <c r="H653" i="5" s="1"/>
  <c r="H663" i="5" s="1"/>
  <c r="J641" i="5"/>
  <c r="J645" i="5"/>
  <c r="J649" i="5" s="1"/>
  <c r="J653" i="5" s="1"/>
  <c r="J663" i="5" s="1"/>
  <c r="D641" i="5"/>
  <c r="D645" i="5"/>
  <c r="D649" i="5" s="1"/>
  <c r="D653" i="5" s="1"/>
  <c r="D549" i="5"/>
  <c r="L549" i="5"/>
  <c r="H549" i="5"/>
  <c r="M549" i="5"/>
  <c r="I549" i="5"/>
  <c r="E549" i="5"/>
  <c r="N549" i="5"/>
  <c r="J549" i="5"/>
  <c r="F549" i="5"/>
  <c r="O549" i="5"/>
  <c r="K549" i="5"/>
  <c r="G549" i="5"/>
  <c r="D629" i="5"/>
  <c r="G629" i="5"/>
  <c r="K629" i="5"/>
  <c r="O629" i="5"/>
  <c r="H629" i="5"/>
  <c r="L629" i="5"/>
  <c r="E629" i="5"/>
  <c r="I629" i="5"/>
  <c r="M629" i="5"/>
  <c r="F629" i="5"/>
  <c r="J629" i="5"/>
  <c r="N629" i="5"/>
  <c r="K338" i="5"/>
  <c r="E338" i="5"/>
  <c r="J414" i="5"/>
  <c r="J424" i="5" s="1"/>
  <c r="J419" i="5"/>
  <c r="F338" i="5"/>
  <c r="G19" i="5"/>
  <c r="D419" i="5"/>
  <c r="D759" i="5"/>
  <c r="E654" i="5"/>
  <c r="E664" i="5" s="1"/>
  <c r="M653" i="5"/>
  <c r="M663" i="5" s="1"/>
  <c r="I654" i="5"/>
  <c r="I664" i="5" s="1"/>
  <c r="I676" i="5"/>
  <c r="F676" i="5"/>
  <c r="N676" i="5"/>
  <c r="K676" i="5"/>
  <c r="E676" i="5"/>
  <c r="M676" i="5"/>
  <c r="J676" i="5"/>
  <c r="G676" i="5"/>
  <c r="O676" i="5"/>
  <c r="H676" i="5"/>
  <c r="L676" i="5"/>
  <c r="I247" i="5"/>
  <c r="E247" i="5"/>
  <c r="H248" i="5"/>
  <c r="F248" i="5"/>
  <c r="F252" i="5" s="1"/>
  <c r="F262" i="5" s="1"/>
  <c r="M249" i="5"/>
  <c r="L248" i="5"/>
  <c r="K247" i="5"/>
  <c r="J247" i="5"/>
  <c r="N249" i="5"/>
  <c r="D74" i="5"/>
  <c r="D78" i="5"/>
  <c r="F19" i="5"/>
  <c r="J19" i="5"/>
  <c r="L76" i="5"/>
  <c r="L72" i="5"/>
  <c r="E77" i="5"/>
  <c r="E73" i="5"/>
  <c r="I77" i="5"/>
  <c r="I73" i="5"/>
  <c r="M77" i="5"/>
  <c r="M73" i="5"/>
  <c r="F77" i="5"/>
  <c r="F73" i="5"/>
  <c r="J77" i="5"/>
  <c r="J73" i="5"/>
  <c r="N77" i="5"/>
  <c r="N73" i="5"/>
  <c r="G78" i="5"/>
  <c r="G74" i="5"/>
  <c r="H78" i="5"/>
  <c r="H74" i="5"/>
  <c r="I78" i="5"/>
  <c r="I74" i="5"/>
  <c r="L78" i="5"/>
  <c r="L74" i="5"/>
  <c r="M78" i="5"/>
  <c r="M74" i="5"/>
  <c r="F78" i="5"/>
  <c r="F74" i="5"/>
  <c r="J78" i="5"/>
  <c r="J74" i="5"/>
  <c r="N78" i="5"/>
  <c r="N74" i="5"/>
  <c r="E78" i="5"/>
  <c r="E74" i="5"/>
  <c r="K78" i="5"/>
  <c r="K74" i="5"/>
  <c r="O78" i="5"/>
  <c r="O74" i="5"/>
  <c r="O82" i="5"/>
  <c r="J76" i="5"/>
  <c r="J72" i="5"/>
  <c r="N76" i="5"/>
  <c r="N72" i="5"/>
  <c r="G77" i="5"/>
  <c r="G73" i="5"/>
  <c r="K77" i="5"/>
  <c r="K73" i="5"/>
  <c r="H77" i="5"/>
  <c r="H73" i="5"/>
  <c r="L77" i="5"/>
  <c r="L73" i="5"/>
  <c r="D77" i="5"/>
  <c r="N13" i="5"/>
  <c r="L19" i="5"/>
  <c r="J13" i="5"/>
  <c r="H19" i="5"/>
  <c r="D19" i="5"/>
  <c r="K19" i="5"/>
  <c r="O18" i="5"/>
  <c r="O42" i="5" s="1"/>
  <c r="E19" i="5"/>
  <c r="L13" i="5"/>
  <c r="I19" i="5"/>
  <c r="F13" i="5"/>
  <c r="F12" i="5"/>
  <c r="F41" i="5" s="1"/>
  <c r="I13" i="5"/>
  <c r="I12" i="5"/>
  <c r="I41" i="5" s="1"/>
  <c r="M13" i="5"/>
  <c r="M12" i="5"/>
  <c r="M41" i="5" s="1"/>
  <c r="E13" i="5"/>
  <c r="E12" i="5"/>
  <c r="E41" i="5" s="1"/>
  <c r="D13" i="5"/>
  <c r="G13" i="5"/>
  <c r="G12" i="5"/>
  <c r="G41" i="5" s="1"/>
  <c r="K13" i="5"/>
  <c r="K12" i="5"/>
  <c r="K41" i="5" s="1"/>
  <c r="O13" i="5"/>
  <c r="O12" i="5"/>
  <c r="O41" i="5" s="1"/>
  <c r="H13" i="5"/>
  <c r="H12" i="5"/>
  <c r="H41" i="5" s="1"/>
  <c r="A37" i="3"/>
  <c r="B24" i="2"/>
  <c r="A347" i="5" s="1"/>
  <c r="B20" i="2"/>
  <c r="A266" i="5" s="1"/>
  <c r="B16" i="2"/>
  <c r="A185" i="5" s="1"/>
  <c r="B11" i="2"/>
  <c r="B2" i="2"/>
  <c r="P377" i="6" l="1"/>
  <c r="Q377" i="6" s="1"/>
  <c r="I377" i="6" s="1"/>
  <c r="J15" i="4" s="1"/>
  <c r="S15" i="4" s="1"/>
  <c r="P379" i="6"/>
  <c r="Q379" i="6" s="1"/>
  <c r="I379" i="6" s="1"/>
  <c r="J17" i="4" s="1"/>
  <c r="S17" i="4" s="1"/>
  <c r="H12" i="4"/>
  <c r="Q12" i="4" s="1"/>
  <c r="O256" i="5"/>
  <c r="K258" i="5"/>
  <c r="G256" i="5"/>
  <c r="L256" i="5"/>
  <c r="N257" i="5"/>
  <c r="I655" i="5"/>
  <c r="I665" i="5" s="1"/>
  <c r="E420" i="5"/>
  <c r="J258" i="5"/>
  <c r="F420" i="5"/>
  <c r="N337" i="5"/>
  <c r="K415" i="5"/>
  <c r="K425" i="5" s="1"/>
  <c r="O415" i="5"/>
  <c r="O425" i="5" s="1"/>
  <c r="E418" i="5"/>
  <c r="D420" i="5"/>
  <c r="J420" i="5"/>
  <c r="D339" i="5"/>
  <c r="K420" i="5"/>
  <c r="L258" i="5"/>
  <c r="F258" i="5"/>
  <c r="J256" i="5"/>
  <c r="M258" i="5"/>
  <c r="H257" i="5"/>
  <c r="J413" i="5"/>
  <c r="J423" i="5" s="1"/>
  <c r="K418" i="5"/>
  <c r="M655" i="5"/>
  <c r="M665" i="5" s="1"/>
  <c r="J339" i="5"/>
  <c r="F12" i="4"/>
  <c r="G12" i="4"/>
  <c r="P12" i="4" s="1"/>
  <c r="O418" i="5"/>
  <c r="O420" i="5"/>
  <c r="E258" i="5"/>
  <c r="O258" i="5"/>
  <c r="J257" i="5"/>
  <c r="N258" i="5"/>
  <c r="F256" i="5"/>
  <c r="K256" i="5"/>
  <c r="L257" i="5"/>
  <c r="H256" i="5"/>
  <c r="E256" i="5"/>
  <c r="I256" i="5"/>
  <c r="M256" i="5"/>
  <c r="G653" i="5"/>
  <c r="G663" i="5" s="1"/>
  <c r="E413" i="5"/>
  <c r="E423" i="5" s="1"/>
  <c r="F337" i="5"/>
  <c r="N420" i="5"/>
  <c r="F339" i="5"/>
  <c r="O337" i="5"/>
  <c r="D256" i="5"/>
  <c r="J418" i="5"/>
  <c r="F418" i="5"/>
  <c r="D418" i="5"/>
  <c r="E337" i="5"/>
  <c r="H634" i="5"/>
  <c r="H639" i="5" s="1"/>
  <c r="L634" i="5"/>
  <c r="L639" i="5" s="1"/>
  <c r="D634" i="5"/>
  <c r="D639" i="5" s="1"/>
  <c r="G634" i="5"/>
  <c r="G639" i="5" s="1"/>
  <c r="G658" i="5" s="1"/>
  <c r="K634" i="5"/>
  <c r="K639" i="5" s="1"/>
  <c r="O634" i="5"/>
  <c r="O639" i="5" s="1"/>
  <c r="F634" i="5"/>
  <c r="F639" i="5" s="1"/>
  <c r="J634" i="5"/>
  <c r="J639" i="5" s="1"/>
  <c r="N634" i="5"/>
  <c r="N639" i="5" s="1"/>
  <c r="E634" i="5"/>
  <c r="E639" i="5" s="1"/>
  <c r="I634" i="5"/>
  <c r="I639" i="5" s="1"/>
  <c r="I660" i="5" s="1"/>
  <c r="M634" i="5"/>
  <c r="M639" i="5" s="1"/>
  <c r="M659" i="5" s="1"/>
  <c r="M554" i="5"/>
  <c r="M559" i="5" s="1"/>
  <c r="D554" i="5"/>
  <c r="D559" i="5" s="1"/>
  <c r="F554" i="5"/>
  <c r="F559" i="5" s="1"/>
  <c r="G554" i="5"/>
  <c r="G559" i="5" s="1"/>
  <c r="O554" i="5"/>
  <c r="O559" i="5" s="1"/>
  <c r="L554" i="5"/>
  <c r="L559" i="5" s="1"/>
  <c r="I554" i="5"/>
  <c r="I559" i="5" s="1"/>
  <c r="J554" i="5"/>
  <c r="J559" i="5" s="1"/>
  <c r="N554" i="5"/>
  <c r="N559" i="5" s="1"/>
  <c r="K554" i="5"/>
  <c r="K559" i="5" s="1"/>
  <c r="H554" i="5"/>
  <c r="H559" i="5" s="1"/>
  <c r="E554" i="5"/>
  <c r="E559" i="5" s="1"/>
  <c r="J337" i="5"/>
  <c r="D337" i="5"/>
  <c r="K337" i="5"/>
  <c r="K339" i="5"/>
  <c r="E339" i="5"/>
  <c r="D258" i="5"/>
  <c r="M257" i="5"/>
  <c r="I257" i="5"/>
  <c r="G257" i="5"/>
  <c r="K257" i="5"/>
  <c r="O257" i="5"/>
  <c r="E257" i="5"/>
  <c r="N418" i="5"/>
  <c r="G258" i="5"/>
  <c r="I258" i="5"/>
  <c r="O474" i="5"/>
  <c r="O479" i="5" s="1"/>
  <c r="H474" i="5"/>
  <c r="H479" i="5" s="1"/>
  <c r="D474" i="5"/>
  <c r="D479" i="5" s="1"/>
  <c r="I474" i="5"/>
  <c r="I479" i="5" s="1"/>
  <c r="J474" i="5"/>
  <c r="J479" i="5" s="1"/>
  <c r="G474" i="5"/>
  <c r="G479" i="5" s="1"/>
  <c r="L474" i="5"/>
  <c r="L479" i="5" s="1"/>
  <c r="E474" i="5"/>
  <c r="E479" i="5" s="1"/>
  <c r="M474" i="5"/>
  <c r="M479" i="5" s="1"/>
  <c r="F474" i="5"/>
  <c r="F479" i="5" s="1"/>
  <c r="N474" i="5"/>
  <c r="N479" i="5" s="1"/>
  <c r="K474" i="5"/>
  <c r="K479" i="5" s="1"/>
  <c r="N339" i="5"/>
  <c r="O339" i="5"/>
  <c r="H258" i="5"/>
  <c r="N256" i="5"/>
  <c r="F257" i="5"/>
  <c r="P676" i="5"/>
  <c r="E759" i="5"/>
  <c r="F759" i="5" s="1"/>
  <c r="G759" i="5" s="1"/>
  <c r="H759" i="5" s="1"/>
  <c r="I759" i="5" s="1"/>
  <c r="J759" i="5" s="1"/>
  <c r="K759" i="5" s="1"/>
  <c r="L759" i="5" s="1"/>
  <c r="M759" i="5" s="1"/>
  <c r="N759" i="5" s="1"/>
  <c r="O759" i="5" s="1"/>
  <c r="C753" i="5" s="1"/>
  <c r="D11" i="4" s="1"/>
  <c r="F251" i="5"/>
  <c r="F261" i="5" s="1"/>
  <c r="N253" i="5"/>
  <c r="N263" i="5" s="1"/>
  <c r="I251" i="5"/>
  <c r="I261" i="5" s="1"/>
  <c r="K251" i="5"/>
  <c r="K261" i="5" s="1"/>
  <c r="L251" i="5"/>
  <c r="L261" i="5" s="1"/>
  <c r="H252" i="5"/>
  <c r="H262" i="5" s="1"/>
  <c r="G251" i="5"/>
  <c r="G261" i="5" s="1"/>
  <c r="M253" i="5"/>
  <c r="M263" i="5" s="1"/>
  <c r="F253" i="5"/>
  <c r="F263" i="5" s="1"/>
  <c r="H251" i="5"/>
  <c r="H261" i="5" s="1"/>
  <c r="J251" i="5"/>
  <c r="J261" i="5" s="1"/>
  <c r="K253" i="5"/>
  <c r="K263" i="5" s="1"/>
  <c r="J253" i="5"/>
  <c r="J263" i="5" s="1"/>
  <c r="E251" i="5"/>
  <c r="E261" i="5" s="1"/>
  <c r="L252" i="5"/>
  <c r="L262" i="5" s="1"/>
  <c r="M251" i="5"/>
  <c r="M261" i="5" s="1"/>
  <c r="D81" i="5"/>
  <c r="D85" i="5" s="1"/>
  <c r="D95" i="5" s="1"/>
  <c r="L81" i="5"/>
  <c r="L85" i="5" s="1"/>
  <c r="L95" i="5" s="1"/>
  <c r="H81" i="5"/>
  <c r="H85" i="5" s="1"/>
  <c r="H95" i="5" s="1"/>
  <c r="K81" i="5"/>
  <c r="K85" i="5" s="1"/>
  <c r="K95" i="5" s="1"/>
  <c r="G81" i="5"/>
  <c r="G85" i="5" s="1"/>
  <c r="G95" i="5" s="1"/>
  <c r="N80" i="5"/>
  <c r="N84" i="5" s="1"/>
  <c r="N94" i="5" s="1"/>
  <c r="J80" i="5"/>
  <c r="J84" i="5" s="1"/>
  <c r="J94" i="5" s="1"/>
  <c r="K82" i="5"/>
  <c r="K86" i="5" s="1"/>
  <c r="K96" i="5" s="1"/>
  <c r="E82" i="5"/>
  <c r="E86" i="5" s="1"/>
  <c r="E96" i="5" s="1"/>
  <c r="N82" i="5"/>
  <c r="N86" i="5" s="1"/>
  <c r="N96" i="5" s="1"/>
  <c r="J82" i="5"/>
  <c r="J86" i="5" s="1"/>
  <c r="J96" i="5" s="1"/>
  <c r="F82" i="5"/>
  <c r="F86" i="5" s="1"/>
  <c r="F96" i="5" s="1"/>
  <c r="M82" i="5"/>
  <c r="M86" i="5" s="1"/>
  <c r="M96" i="5" s="1"/>
  <c r="L82" i="5"/>
  <c r="L86" i="5" s="1"/>
  <c r="L96" i="5" s="1"/>
  <c r="I82" i="5"/>
  <c r="I86" i="5" s="1"/>
  <c r="I96" i="5" s="1"/>
  <c r="H82" i="5"/>
  <c r="H86" i="5" s="1"/>
  <c r="H96" i="5" s="1"/>
  <c r="G82" i="5"/>
  <c r="G86" i="5" s="1"/>
  <c r="G96" i="5" s="1"/>
  <c r="N81" i="5"/>
  <c r="N85" i="5" s="1"/>
  <c r="N95" i="5" s="1"/>
  <c r="J81" i="5"/>
  <c r="J85" i="5" s="1"/>
  <c r="J95" i="5" s="1"/>
  <c r="F81" i="5"/>
  <c r="F85" i="5" s="1"/>
  <c r="F95" i="5" s="1"/>
  <c r="M81" i="5"/>
  <c r="M85" i="5" s="1"/>
  <c r="M95" i="5" s="1"/>
  <c r="I81" i="5"/>
  <c r="I85" i="5" s="1"/>
  <c r="I95" i="5" s="1"/>
  <c r="E81" i="5"/>
  <c r="E85" i="5" s="1"/>
  <c r="E95" i="5" s="1"/>
  <c r="L80" i="5"/>
  <c r="L84" i="5" s="1"/>
  <c r="L94" i="5" s="1"/>
  <c r="D82" i="5"/>
  <c r="D86" i="5" s="1"/>
  <c r="D96" i="5" s="1"/>
  <c r="O86" i="5"/>
  <c r="O96" i="5" s="1"/>
  <c r="D80" i="5"/>
  <c r="D84" i="5" s="1"/>
  <c r="D94" i="5" s="1"/>
  <c r="O91" i="5"/>
  <c r="N124" i="5"/>
  <c r="N123" i="5"/>
  <c r="N122" i="5"/>
  <c r="J122" i="5"/>
  <c r="J124" i="5"/>
  <c r="J123" i="5"/>
  <c r="F124" i="5"/>
  <c r="F123" i="5"/>
  <c r="F122" i="5"/>
  <c r="M122" i="5"/>
  <c r="M124" i="5"/>
  <c r="M123" i="5"/>
  <c r="I124" i="5"/>
  <c r="I123" i="5"/>
  <c r="I122" i="5"/>
  <c r="E122" i="5"/>
  <c r="E124" i="5"/>
  <c r="E123" i="5"/>
  <c r="D122" i="5"/>
  <c r="L122" i="5"/>
  <c r="L124" i="5"/>
  <c r="L123" i="5"/>
  <c r="H124" i="5"/>
  <c r="H123" i="5"/>
  <c r="H122" i="5"/>
  <c r="O122" i="5"/>
  <c r="O124" i="5"/>
  <c r="O123" i="5"/>
  <c r="K124" i="5"/>
  <c r="K123" i="5"/>
  <c r="K122" i="5"/>
  <c r="G122" i="5"/>
  <c r="G124" i="5"/>
  <c r="G123" i="5"/>
  <c r="H76" i="5"/>
  <c r="H72" i="5"/>
  <c r="K76" i="5"/>
  <c r="K72" i="5"/>
  <c r="D72" i="5"/>
  <c r="E76" i="5"/>
  <c r="E72" i="5"/>
  <c r="M76" i="5"/>
  <c r="M72" i="5"/>
  <c r="I76" i="5"/>
  <c r="I72" i="5"/>
  <c r="F76" i="5"/>
  <c r="F72" i="5"/>
  <c r="O76" i="5"/>
  <c r="O72" i="5"/>
  <c r="O80" i="5"/>
  <c r="G76" i="5"/>
  <c r="G72" i="5"/>
  <c r="O81" i="5"/>
  <c r="O77" i="5"/>
  <c r="O73" i="5"/>
  <c r="O12" i="4" l="1"/>
  <c r="V12" i="4"/>
  <c r="M658" i="5"/>
  <c r="M660" i="5"/>
  <c r="W12" i="4"/>
  <c r="N500" i="5"/>
  <c r="N499" i="5"/>
  <c r="N498" i="5"/>
  <c r="N677" i="5"/>
  <c r="N679" i="5" s="1"/>
  <c r="M499" i="5"/>
  <c r="M500" i="5"/>
  <c r="M498" i="5"/>
  <c r="M677" i="5"/>
  <c r="M679" i="5" s="1"/>
  <c r="L500" i="5"/>
  <c r="L498" i="5"/>
  <c r="L677" i="5"/>
  <c r="L679" i="5" s="1"/>
  <c r="L499" i="5"/>
  <c r="J500" i="5"/>
  <c r="J499" i="5"/>
  <c r="J498" i="5"/>
  <c r="J677" i="5"/>
  <c r="J679" i="5" s="1"/>
  <c r="D498" i="5"/>
  <c r="D499" i="5"/>
  <c r="D500" i="5"/>
  <c r="D677" i="5"/>
  <c r="D679" i="5" s="1"/>
  <c r="O500" i="5"/>
  <c r="O499" i="5"/>
  <c r="O498" i="5"/>
  <c r="O677" i="5"/>
  <c r="O679" i="5" s="1"/>
  <c r="E578" i="5"/>
  <c r="E579" i="5"/>
  <c r="E580" i="5"/>
  <c r="K580" i="5"/>
  <c r="K578" i="5"/>
  <c r="K579" i="5"/>
  <c r="J579" i="5"/>
  <c r="J580" i="5"/>
  <c r="J578" i="5"/>
  <c r="L579" i="5"/>
  <c r="L580" i="5"/>
  <c r="L578" i="5"/>
  <c r="G578" i="5"/>
  <c r="G579" i="5"/>
  <c r="G580" i="5"/>
  <c r="D578" i="5"/>
  <c r="D579" i="5"/>
  <c r="D580" i="5"/>
  <c r="E658" i="5"/>
  <c r="E660" i="5"/>
  <c r="E659" i="5"/>
  <c r="J658" i="5"/>
  <c r="J659" i="5"/>
  <c r="J660" i="5"/>
  <c r="O658" i="5"/>
  <c r="O659" i="5"/>
  <c r="O660" i="5"/>
  <c r="G659" i="5"/>
  <c r="G660" i="5"/>
  <c r="L658" i="5"/>
  <c r="L659" i="5"/>
  <c r="L660" i="5"/>
  <c r="K499" i="5"/>
  <c r="K498" i="5"/>
  <c r="K677" i="5"/>
  <c r="K679" i="5" s="1"/>
  <c r="K500" i="5"/>
  <c r="F500" i="5"/>
  <c r="F499" i="5"/>
  <c r="F498" i="5"/>
  <c r="F677" i="5"/>
  <c r="F679" i="5" s="1"/>
  <c r="E499" i="5"/>
  <c r="E498" i="5"/>
  <c r="E500" i="5"/>
  <c r="E677" i="5"/>
  <c r="E679" i="5" s="1"/>
  <c r="G499" i="5"/>
  <c r="G498" i="5"/>
  <c r="G500" i="5"/>
  <c r="G677" i="5"/>
  <c r="G679" i="5" s="1"/>
  <c r="I500" i="5"/>
  <c r="I499" i="5"/>
  <c r="I498" i="5"/>
  <c r="I677" i="5"/>
  <c r="I679" i="5" s="1"/>
  <c r="H498" i="5"/>
  <c r="H499" i="5"/>
  <c r="H500" i="5"/>
  <c r="H677" i="5"/>
  <c r="H679" i="5" s="1"/>
  <c r="H578" i="5"/>
  <c r="H579" i="5"/>
  <c r="H580" i="5"/>
  <c r="N578" i="5"/>
  <c r="N579" i="5"/>
  <c r="N580" i="5"/>
  <c r="I580" i="5"/>
  <c r="I578" i="5"/>
  <c r="I579" i="5"/>
  <c r="O578" i="5"/>
  <c r="O579" i="5"/>
  <c r="O580" i="5"/>
  <c r="F578" i="5"/>
  <c r="F579" i="5"/>
  <c r="F580" i="5"/>
  <c r="M578" i="5"/>
  <c r="M579" i="5"/>
  <c r="M580" i="5"/>
  <c r="I658" i="5"/>
  <c r="I659" i="5"/>
  <c r="N660" i="5"/>
  <c r="N658" i="5"/>
  <c r="N659" i="5"/>
  <c r="F660" i="5"/>
  <c r="F658" i="5"/>
  <c r="F659" i="5"/>
  <c r="K659" i="5"/>
  <c r="K660" i="5"/>
  <c r="K658" i="5"/>
  <c r="D659" i="5"/>
  <c r="D660" i="5"/>
  <c r="D658" i="5"/>
  <c r="H658" i="5"/>
  <c r="H659" i="5"/>
  <c r="H660" i="5"/>
  <c r="D741" i="5"/>
  <c r="L90" i="5"/>
  <c r="F91" i="5"/>
  <c r="N89" i="5"/>
  <c r="N90" i="5"/>
  <c r="L89" i="5"/>
  <c r="D89" i="5"/>
  <c r="J90" i="5"/>
  <c r="H90" i="5"/>
  <c r="M90" i="5"/>
  <c r="D90" i="5"/>
  <c r="G90" i="5"/>
  <c r="H91" i="5"/>
  <c r="K91" i="5"/>
  <c r="K90" i="5"/>
  <c r="J89" i="5"/>
  <c r="I91" i="5"/>
  <c r="D91" i="5"/>
  <c r="K80" i="5"/>
  <c r="K84" i="5" s="1"/>
  <c r="K94" i="5" s="1"/>
  <c r="F80" i="5"/>
  <c r="F84" i="5" s="1"/>
  <c r="F94" i="5" s="1"/>
  <c r="I80" i="5"/>
  <c r="I84" i="5" s="1"/>
  <c r="I94" i="5" s="1"/>
  <c r="M80" i="5"/>
  <c r="M84" i="5" s="1"/>
  <c r="M94" i="5" s="1"/>
  <c r="E80" i="5"/>
  <c r="E84" i="5" s="1"/>
  <c r="E94" i="5" s="1"/>
  <c r="O85" i="5"/>
  <c r="O95" i="5" s="1"/>
  <c r="O84" i="5"/>
  <c r="O94" i="5" s="1"/>
  <c r="F90" i="5"/>
  <c r="E91" i="5"/>
  <c r="G91" i="5"/>
  <c r="M91" i="5"/>
  <c r="I90" i="5"/>
  <c r="L91" i="5"/>
  <c r="N91" i="5"/>
  <c r="E90" i="5"/>
  <c r="J91" i="5"/>
  <c r="G80" i="5"/>
  <c r="G84" i="5" s="1"/>
  <c r="G94" i="5" s="1"/>
  <c r="H80" i="5"/>
  <c r="H84" i="5" s="1"/>
  <c r="H94" i="5" s="1"/>
  <c r="O90" i="5"/>
  <c r="O89" i="5"/>
  <c r="G160" i="5"/>
  <c r="G164" i="5"/>
  <c r="K158" i="5"/>
  <c r="K705" i="5" s="1"/>
  <c r="K706" i="5" s="1"/>
  <c r="K162" i="5"/>
  <c r="K160" i="5"/>
  <c r="K164" i="5"/>
  <c r="O168" i="5"/>
  <c r="O160" i="5"/>
  <c r="O164" i="5"/>
  <c r="H158" i="5"/>
  <c r="H705" i="5" s="1"/>
  <c r="H706" i="5" s="1"/>
  <c r="H162" i="5"/>
  <c r="H160" i="5"/>
  <c r="H164" i="5"/>
  <c r="L160" i="5"/>
  <c r="L164" i="5"/>
  <c r="D159" i="5"/>
  <c r="D163" i="5"/>
  <c r="D158" i="5"/>
  <c r="D162" i="5"/>
  <c r="E160" i="5"/>
  <c r="E164" i="5"/>
  <c r="I158" i="5"/>
  <c r="I705" i="5" s="1"/>
  <c r="I706" i="5" s="1"/>
  <c r="I162" i="5"/>
  <c r="I160" i="5"/>
  <c r="I164" i="5"/>
  <c r="M160" i="5"/>
  <c r="M164" i="5"/>
  <c r="F158" i="5"/>
  <c r="F705" i="5" s="1"/>
  <c r="F706" i="5" s="1"/>
  <c r="F162" i="5"/>
  <c r="F164" i="5"/>
  <c r="F160" i="5"/>
  <c r="J160" i="5"/>
  <c r="J164" i="5"/>
  <c r="N158" i="5"/>
  <c r="N705" i="5" s="1"/>
  <c r="N706" i="5" s="1"/>
  <c r="N162" i="5"/>
  <c r="N160" i="5"/>
  <c r="N164" i="5"/>
  <c r="G159" i="5"/>
  <c r="G163" i="5"/>
  <c r="G158" i="5"/>
  <c r="G705" i="5" s="1"/>
  <c r="G706" i="5" s="1"/>
  <c r="G162" i="5"/>
  <c r="K159" i="5"/>
  <c r="K163" i="5"/>
  <c r="O159" i="5"/>
  <c r="O163" i="5"/>
  <c r="O167" i="5"/>
  <c r="O176" i="5" s="1"/>
  <c r="O166" i="5"/>
  <c r="O158" i="5"/>
  <c r="O705" i="5" s="1"/>
  <c r="O706" i="5" s="1"/>
  <c r="O162" i="5"/>
  <c r="H159" i="5"/>
  <c r="H163" i="5"/>
  <c r="L159" i="5"/>
  <c r="L163" i="5"/>
  <c r="L158" i="5"/>
  <c r="L705" i="5" s="1"/>
  <c r="L706" i="5" s="1"/>
  <c r="L162" i="5"/>
  <c r="D160" i="5"/>
  <c r="D164" i="5"/>
  <c r="E159" i="5"/>
  <c r="E163" i="5"/>
  <c r="E158" i="5"/>
  <c r="E705" i="5" s="1"/>
  <c r="E706" i="5" s="1"/>
  <c r="E162" i="5"/>
  <c r="I159" i="5"/>
  <c r="I163" i="5"/>
  <c r="M159" i="5"/>
  <c r="M163" i="5"/>
  <c r="M158" i="5"/>
  <c r="M705" i="5" s="1"/>
  <c r="M706" i="5" s="1"/>
  <c r="M162" i="5"/>
  <c r="F163" i="5"/>
  <c r="F159" i="5"/>
  <c r="J159" i="5"/>
  <c r="J163" i="5"/>
  <c r="J158" i="5"/>
  <c r="J705" i="5" s="1"/>
  <c r="J706" i="5" s="1"/>
  <c r="J162" i="5"/>
  <c r="N159" i="5"/>
  <c r="N163" i="5"/>
  <c r="O170" i="5" l="1"/>
  <c r="O690" i="5" s="1"/>
  <c r="O699" i="5" s="1"/>
  <c r="O172" i="5"/>
  <c r="O692" i="5" s="1"/>
  <c r="O725" i="5" s="1"/>
  <c r="O736" i="5" s="1"/>
  <c r="G89" i="5"/>
  <c r="D758" i="5"/>
  <c r="E758" i="5" s="1"/>
  <c r="F758" i="5" s="1"/>
  <c r="G758" i="5" s="1"/>
  <c r="H758" i="5" s="1"/>
  <c r="I758" i="5" s="1"/>
  <c r="J758" i="5" s="1"/>
  <c r="K758" i="5" s="1"/>
  <c r="L758" i="5" s="1"/>
  <c r="M758" i="5" s="1"/>
  <c r="N758" i="5" s="1"/>
  <c r="O758" i="5" s="1"/>
  <c r="C752" i="5" s="1"/>
  <c r="D10" i="4" s="1"/>
  <c r="P679" i="5"/>
  <c r="N753" i="5"/>
  <c r="O11" i="4" s="1"/>
  <c r="D742" i="5"/>
  <c r="O753" i="5" s="1"/>
  <c r="P11" i="4" s="1"/>
  <c r="O180" i="5"/>
  <c r="O182" i="5"/>
  <c r="O171" i="5"/>
  <c r="H89" i="5"/>
  <c r="E89" i="5"/>
  <c r="F167" i="5"/>
  <c r="F171" i="5" s="1"/>
  <c r="D168" i="5"/>
  <c r="L166" i="5"/>
  <c r="J168" i="5"/>
  <c r="J688" i="5" s="1"/>
  <c r="J721" i="5" s="1"/>
  <c r="J732" i="5" s="1"/>
  <c r="E168" i="5"/>
  <c r="E688" i="5" s="1"/>
  <c r="E721" i="5" s="1"/>
  <c r="E732" i="5" s="1"/>
  <c r="K168" i="5"/>
  <c r="K172" i="5" s="1"/>
  <c r="J167" i="5"/>
  <c r="J171" i="5" s="1"/>
  <c r="E167" i="5"/>
  <c r="E687" i="5" s="1"/>
  <c r="E720" i="5" s="1"/>
  <c r="E731" i="5" s="1"/>
  <c r="K167" i="5"/>
  <c r="N166" i="5"/>
  <c r="N686" i="5" s="1"/>
  <c r="N695" i="5" s="1"/>
  <c r="F168" i="5"/>
  <c r="F172" i="5" s="1"/>
  <c r="D167" i="5"/>
  <c r="D687" i="5" s="1"/>
  <c r="D720" i="5" s="1"/>
  <c r="D731" i="5" s="1"/>
  <c r="M89" i="5"/>
  <c r="K89" i="5"/>
  <c r="I89" i="5"/>
  <c r="F89" i="5"/>
  <c r="E166" i="5"/>
  <c r="H167" i="5"/>
  <c r="J707" i="5"/>
  <c r="J708" i="5" s="1"/>
  <c r="J166" i="5"/>
  <c r="M166" i="5"/>
  <c r="M167" i="5"/>
  <c r="M687" i="5" s="1"/>
  <c r="M720" i="5" s="1"/>
  <c r="M731" i="5" s="1"/>
  <c r="I167" i="5"/>
  <c r="G166" i="5"/>
  <c r="G686" i="5" s="1"/>
  <c r="G695" i="5" s="1"/>
  <c r="G167" i="5"/>
  <c r="N168" i="5"/>
  <c r="F166" i="5"/>
  <c r="M168" i="5"/>
  <c r="I168" i="5"/>
  <c r="I166" i="5"/>
  <c r="L168" i="5"/>
  <c r="H168" i="5"/>
  <c r="H166" i="5"/>
  <c r="N167" i="5"/>
  <c r="L167" i="5"/>
  <c r="D166" i="5"/>
  <c r="D175" i="5" s="1"/>
  <c r="K166" i="5"/>
  <c r="K686" i="5" s="1"/>
  <c r="K695" i="5" s="1"/>
  <c r="G168" i="5"/>
  <c r="H707" i="5"/>
  <c r="H708" i="5" s="1"/>
  <c r="L707" i="5"/>
  <c r="L708" i="5" s="1"/>
  <c r="D707" i="5"/>
  <c r="D708" i="5" s="1"/>
  <c r="O707" i="5"/>
  <c r="O708" i="5" s="1"/>
  <c r="M707" i="5"/>
  <c r="M708" i="5" s="1"/>
  <c r="K707" i="5"/>
  <c r="K708" i="5" s="1"/>
  <c r="F707" i="5"/>
  <c r="F708" i="5" s="1"/>
  <c r="N707" i="5"/>
  <c r="N708" i="5" s="1"/>
  <c r="I707" i="5"/>
  <c r="I708" i="5" s="1"/>
  <c r="D705" i="5"/>
  <c r="D706" i="5" s="1"/>
  <c r="G707" i="5"/>
  <c r="G708" i="5" s="1"/>
  <c r="E707" i="5"/>
  <c r="E708" i="5" s="1"/>
  <c r="O686" i="5"/>
  <c r="O695" i="5" s="1"/>
  <c r="O687" i="5"/>
  <c r="O720" i="5" s="1"/>
  <c r="O731" i="5" s="1"/>
  <c r="O688" i="5"/>
  <c r="O721" i="5" s="1"/>
  <c r="O732" i="5" s="1"/>
  <c r="J176" i="5"/>
  <c r="O177" i="5"/>
  <c r="K175" i="5"/>
  <c r="F176" i="5"/>
  <c r="O175" i="5"/>
  <c r="F177" i="5"/>
  <c r="K177" i="5"/>
  <c r="N687" i="5" l="1"/>
  <c r="N720" i="5" s="1"/>
  <c r="N731" i="5" s="1"/>
  <c r="N176" i="5"/>
  <c r="N172" i="5"/>
  <c r="N177" i="5"/>
  <c r="N170" i="5"/>
  <c r="N175" i="5"/>
  <c r="M170" i="5"/>
  <c r="M175" i="5"/>
  <c r="M172" i="5"/>
  <c r="M177" i="5"/>
  <c r="M171" i="5"/>
  <c r="M176" i="5"/>
  <c r="L687" i="5"/>
  <c r="L720" i="5" s="1"/>
  <c r="L731" i="5" s="1"/>
  <c r="L176" i="5"/>
  <c r="L172" i="5"/>
  <c r="L177" i="5"/>
  <c r="L170" i="5"/>
  <c r="L175" i="5"/>
  <c r="I172" i="5"/>
  <c r="I177" i="5"/>
  <c r="I171" i="5"/>
  <c r="I176" i="5"/>
  <c r="I170" i="5"/>
  <c r="I175" i="5"/>
  <c r="H171" i="5"/>
  <c r="H176" i="5"/>
  <c r="H170" i="5"/>
  <c r="H175" i="5"/>
  <c r="H687" i="5"/>
  <c r="H720" i="5" s="1"/>
  <c r="H731" i="5" s="1"/>
  <c r="H172" i="5"/>
  <c r="H177" i="5"/>
  <c r="G688" i="5"/>
  <c r="G721" i="5" s="1"/>
  <c r="G732" i="5" s="1"/>
  <c r="G177" i="5"/>
  <c r="G170" i="5"/>
  <c r="G175" i="5"/>
  <c r="G171" i="5"/>
  <c r="G176" i="5"/>
  <c r="F170" i="5"/>
  <c r="F690" i="5" s="1"/>
  <c r="F699" i="5" s="1"/>
  <c r="F175" i="5"/>
  <c r="E170" i="5"/>
  <c r="E690" i="5" s="1"/>
  <c r="E699" i="5" s="1"/>
  <c r="E175" i="5"/>
  <c r="K171" i="5"/>
  <c r="K691" i="5" s="1"/>
  <c r="K724" i="5" s="1"/>
  <c r="K735" i="5" s="1"/>
  <c r="K176" i="5"/>
  <c r="E172" i="5"/>
  <c r="E692" i="5" s="1"/>
  <c r="E725" i="5" s="1"/>
  <c r="E736" i="5" s="1"/>
  <c r="E177" i="5"/>
  <c r="J170" i="5"/>
  <c r="J690" i="5" s="1"/>
  <c r="J699" i="5" s="1"/>
  <c r="J175" i="5"/>
  <c r="D171" i="5"/>
  <c r="D691" i="5" s="1"/>
  <c r="D724" i="5" s="1"/>
  <c r="D735" i="5" s="1"/>
  <c r="D176" i="5"/>
  <c r="E171" i="5"/>
  <c r="E176" i="5"/>
  <c r="J172" i="5"/>
  <c r="J692" i="5" s="1"/>
  <c r="J725" i="5" s="1"/>
  <c r="J736" i="5" s="1"/>
  <c r="J177" i="5"/>
  <c r="D172" i="5"/>
  <c r="D692" i="5" s="1"/>
  <c r="D725" i="5" s="1"/>
  <c r="D736" i="5" s="1"/>
  <c r="D177" i="5"/>
  <c r="E753" i="5"/>
  <c r="F11" i="4" s="1"/>
  <c r="P753" i="5"/>
  <c r="Q11" i="4" s="1"/>
  <c r="F753" i="5"/>
  <c r="G11" i="4" s="1"/>
  <c r="K687" i="5"/>
  <c r="K720" i="5" s="1"/>
  <c r="K731" i="5" s="1"/>
  <c r="H686" i="5"/>
  <c r="H695" i="5" s="1"/>
  <c r="D762" i="5"/>
  <c r="F688" i="5"/>
  <c r="F721" i="5" s="1"/>
  <c r="F732" i="5" s="1"/>
  <c r="M686" i="5"/>
  <c r="M695" i="5" s="1"/>
  <c r="L688" i="5"/>
  <c r="L721" i="5" s="1"/>
  <c r="L732" i="5" s="1"/>
  <c r="I688" i="5"/>
  <c r="I721" i="5" s="1"/>
  <c r="I732" i="5" s="1"/>
  <c r="L686" i="5"/>
  <c r="L695" i="5" s="1"/>
  <c r="I687" i="5"/>
  <c r="I720" i="5" s="1"/>
  <c r="I731" i="5" s="1"/>
  <c r="G687" i="5"/>
  <c r="G720" i="5" s="1"/>
  <c r="G731" i="5" s="1"/>
  <c r="F686" i="5"/>
  <c r="F695" i="5" s="1"/>
  <c r="E686" i="5"/>
  <c r="E695" i="5" s="1"/>
  <c r="J687" i="5"/>
  <c r="J720" i="5" s="1"/>
  <c r="J731" i="5" s="1"/>
  <c r="F687" i="5"/>
  <c r="F720" i="5" s="1"/>
  <c r="N688" i="5"/>
  <c r="N721" i="5" s="1"/>
  <c r="N732" i="5" s="1"/>
  <c r="H688" i="5"/>
  <c r="H721" i="5" s="1"/>
  <c r="H732" i="5" s="1"/>
  <c r="M688" i="5"/>
  <c r="M721" i="5" s="1"/>
  <c r="M732" i="5" s="1"/>
  <c r="D688" i="5"/>
  <c r="D721" i="5" s="1"/>
  <c r="D732" i="5" s="1"/>
  <c r="J686" i="5"/>
  <c r="J695" i="5" s="1"/>
  <c r="I686" i="5"/>
  <c r="I695" i="5" s="1"/>
  <c r="K688" i="5"/>
  <c r="K721" i="5" s="1"/>
  <c r="K732" i="5" s="1"/>
  <c r="D181" i="5"/>
  <c r="E181" i="5"/>
  <c r="E691" i="5"/>
  <c r="E724" i="5" s="1"/>
  <c r="E735" i="5" s="1"/>
  <c r="K182" i="5"/>
  <c r="K692" i="5"/>
  <c r="K725" i="5" s="1"/>
  <c r="K736" i="5" s="1"/>
  <c r="J182" i="5"/>
  <c r="D182" i="5"/>
  <c r="O181" i="5"/>
  <c r="O691" i="5"/>
  <c r="O724" i="5" s="1"/>
  <c r="O735" i="5" s="1"/>
  <c r="F180" i="5"/>
  <c r="J180" i="5"/>
  <c r="E180" i="5"/>
  <c r="F182" i="5"/>
  <c r="F692" i="5"/>
  <c r="F725" i="5" s="1"/>
  <c r="F736" i="5" s="1"/>
  <c r="K181" i="5"/>
  <c r="J181" i="5"/>
  <c r="J691" i="5"/>
  <c r="J724" i="5" s="1"/>
  <c r="J735" i="5" s="1"/>
  <c r="E182" i="5"/>
  <c r="F181" i="5"/>
  <c r="F691" i="5"/>
  <c r="F724" i="5" s="1"/>
  <c r="F735" i="5" s="1"/>
  <c r="D686" i="5"/>
  <c r="D695" i="5" s="1"/>
  <c r="G172" i="5"/>
  <c r="D170" i="5"/>
  <c r="L171" i="5"/>
  <c r="N171" i="5"/>
  <c r="K170" i="5"/>
  <c r="D696" i="5"/>
  <c r="E697" i="5"/>
  <c r="J697" i="5"/>
  <c r="E696" i="5"/>
  <c r="M696" i="5"/>
  <c r="O701" i="5"/>
  <c r="G697" i="5"/>
  <c r="O697" i="5"/>
  <c r="O696" i="5"/>
  <c r="N710" i="5"/>
  <c r="O711" i="5"/>
  <c r="K710" i="5"/>
  <c r="O710" i="5"/>
  <c r="G710" i="5"/>
  <c r="L710" i="5" l="1"/>
  <c r="L714" i="5" s="1"/>
  <c r="L715" i="5" s="1"/>
  <c r="L719" i="5" s="1"/>
  <c r="L730" i="5" s="1"/>
  <c r="F710" i="5"/>
  <c r="F714" i="5" s="1"/>
  <c r="F715" i="5" s="1"/>
  <c r="F719" i="5" s="1"/>
  <c r="F730" i="5" s="1"/>
  <c r="E710" i="5"/>
  <c r="E714" i="5" s="1"/>
  <c r="E715" i="5" s="1"/>
  <c r="E719" i="5" s="1"/>
  <c r="E730" i="5" s="1"/>
  <c r="H710" i="5"/>
  <c r="H714" i="5" s="1"/>
  <c r="H715" i="5" s="1"/>
  <c r="H719" i="5" s="1"/>
  <c r="H730" i="5" s="1"/>
  <c r="J696" i="5"/>
  <c r="I696" i="5"/>
  <c r="N696" i="5"/>
  <c r="L696" i="5"/>
  <c r="H696" i="5"/>
  <c r="I697" i="5"/>
  <c r="N690" i="5"/>
  <c r="N180" i="5"/>
  <c r="N692" i="5"/>
  <c r="N182" i="5"/>
  <c r="N691" i="5"/>
  <c r="N724" i="5" s="1"/>
  <c r="N735" i="5" s="1"/>
  <c r="N181" i="5"/>
  <c r="M691" i="5"/>
  <c r="M181" i="5"/>
  <c r="M692" i="5"/>
  <c r="M182" i="5"/>
  <c r="M690" i="5"/>
  <c r="M180" i="5"/>
  <c r="L691" i="5"/>
  <c r="L724" i="5" s="1"/>
  <c r="L735" i="5" s="1"/>
  <c r="L181" i="5"/>
  <c r="L690" i="5"/>
  <c r="L180" i="5"/>
  <c r="L692" i="5"/>
  <c r="L182" i="5"/>
  <c r="I690" i="5"/>
  <c r="I180" i="5"/>
  <c r="I691" i="5"/>
  <c r="I181" i="5"/>
  <c r="I692" i="5"/>
  <c r="I182" i="5"/>
  <c r="H690" i="5"/>
  <c r="H180" i="5"/>
  <c r="H691" i="5"/>
  <c r="H181" i="5"/>
  <c r="H692" i="5"/>
  <c r="H182" i="5"/>
  <c r="G692" i="5"/>
  <c r="G725" i="5" s="1"/>
  <c r="G736" i="5" s="1"/>
  <c r="G182" i="5"/>
  <c r="G691" i="5"/>
  <c r="G181" i="5"/>
  <c r="G690" i="5"/>
  <c r="G180" i="5"/>
  <c r="K701" i="5"/>
  <c r="P686" i="5"/>
  <c r="P695" i="5" s="1"/>
  <c r="M710" i="5"/>
  <c r="M714" i="5" s="1"/>
  <c r="M715" i="5" s="1"/>
  <c r="M719" i="5" s="1"/>
  <c r="M730" i="5" s="1"/>
  <c r="J710" i="5"/>
  <c r="J714" i="5" s="1"/>
  <c r="J715" i="5" s="1"/>
  <c r="J719" i="5" s="1"/>
  <c r="J730" i="5" s="1"/>
  <c r="M697" i="5"/>
  <c r="E711" i="5"/>
  <c r="E716" i="5" s="1"/>
  <c r="E723" i="5" s="1"/>
  <c r="E734" i="5" s="1"/>
  <c r="F711" i="5"/>
  <c r="F716" i="5" s="1"/>
  <c r="F723" i="5" s="1"/>
  <c r="F734" i="5" s="1"/>
  <c r="G753" i="5"/>
  <c r="H11" i="4" s="1"/>
  <c r="F697" i="5"/>
  <c r="E700" i="5"/>
  <c r="G696" i="5"/>
  <c r="H697" i="5"/>
  <c r="D710" i="5"/>
  <c r="D714" i="5" s="1"/>
  <c r="D715" i="5" s="1"/>
  <c r="D719" i="5" s="1"/>
  <c r="D730" i="5" s="1"/>
  <c r="J711" i="5"/>
  <c r="J716" i="5" s="1"/>
  <c r="J723" i="5" s="1"/>
  <c r="J734" i="5" s="1"/>
  <c r="K697" i="5"/>
  <c r="K696" i="5"/>
  <c r="N697" i="5"/>
  <c r="Q720" i="5"/>
  <c r="F731" i="5"/>
  <c r="P731" i="5" s="1"/>
  <c r="K700" i="5"/>
  <c r="F696" i="5"/>
  <c r="D767" i="5"/>
  <c r="D766" i="5"/>
  <c r="Q721" i="5"/>
  <c r="D763" i="5"/>
  <c r="E762" i="5"/>
  <c r="D771" i="5"/>
  <c r="P688" i="5"/>
  <c r="P697" i="5" s="1"/>
  <c r="P687" i="5"/>
  <c r="P696" i="5" s="1"/>
  <c r="I710" i="5"/>
  <c r="I714" i="5" s="1"/>
  <c r="I715" i="5" s="1"/>
  <c r="I719" i="5" s="1"/>
  <c r="I730" i="5" s="1"/>
  <c r="L697" i="5"/>
  <c r="P732" i="5" s="1"/>
  <c r="D697" i="5"/>
  <c r="F701" i="5"/>
  <c r="E701" i="5"/>
  <c r="J700" i="5"/>
  <c r="O700" i="5"/>
  <c r="F700" i="5"/>
  <c r="J701" i="5"/>
  <c r="D690" i="5"/>
  <c r="K180" i="5"/>
  <c r="K690" i="5"/>
  <c r="L700" i="5"/>
  <c r="G701" i="5"/>
  <c r="D701" i="5"/>
  <c r="D700" i="5"/>
  <c r="K714" i="5"/>
  <c r="K715" i="5" s="1"/>
  <c r="K719" i="5" s="1"/>
  <c r="K730" i="5" s="1"/>
  <c r="N714" i="5"/>
  <c r="N715" i="5" s="1"/>
  <c r="N719" i="5" s="1"/>
  <c r="N730" i="5" s="1"/>
  <c r="G714" i="5"/>
  <c r="G715" i="5" s="1"/>
  <c r="G719" i="5" s="1"/>
  <c r="G730" i="5" s="1"/>
  <c r="O714" i="5"/>
  <c r="O715" i="5" s="1"/>
  <c r="O719" i="5" s="1"/>
  <c r="O730" i="5" s="1"/>
  <c r="O716" i="5"/>
  <c r="O723" i="5" s="1"/>
  <c r="O734" i="5" s="1"/>
  <c r="P692" i="5" l="1"/>
  <c r="P701" i="5" s="1"/>
  <c r="P691" i="5"/>
  <c r="P700" i="5" s="1"/>
  <c r="N700" i="5"/>
  <c r="N725" i="5"/>
  <c r="N736" i="5" s="1"/>
  <c r="N701" i="5"/>
  <c r="N699" i="5"/>
  <c r="N711" i="5"/>
  <c r="N716" i="5" s="1"/>
  <c r="N723" i="5" s="1"/>
  <c r="N734" i="5" s="1"/>
  <c r="M699" i="5"/>
  <c r="M711" i="5"/>
  <c r="M716" i="5" s="1"/>
  <c r="M723" i="5" s="1"/>
  <c r="M734" i="5" s="1"/>
  <c r="M725" i="5"/>
  <c r="M736" i="5" s="1"/>
  <c r="M701" i="5"/>
  <c r="M724" i="5"/>
  <c r="M735" i="5" s="1"/>
  <c r="M700" i="5"/>
  <c r="L725" i="5"/>
  <c r="L736" i="5" s="1"/>
  <c r="L701" i="5"/>
  <c r="L699" i="5"/>
  <c r="L711" i="5"/>
  <c r="L716" i="5" s="1"/>
  <c r="L723" i="5" s="1"/>
  <c r="L734" i="5" s="1"/>
  <c r="I725" i="5"/>
  <c r="I736" i="5" s="1"/>
  <c r="I701" i="5"/>
  <c r="I724" i="5"/>
  <c r="I735" i="5" s="1"/>
  <c r="I700" i="5"/>
  <c r="I699" i="5"/>
  <c r="I711" i="5"/>
  <c r="I716" i="5" s="1"/>
  <c r="I723" i="5" s="1"/>
  <c r="I734" i="5" s="1"/>
  <c r="H725" i="5"/>
  <c r="H701" i="5"/>
  <c r="H724" i="5"/>
  <c r="H735" i="5" s="1"/>
  <c r="H700" i="5"/>
  <c r="H699" i="5"/>
  <c r="H711" i="5"/>
  <c r="H716" i="5" s="1"/>
  <c r="H723" i="5" s="1"/>
  <c r="H734" i="5" s="1"/>
  <c r="G699" i="5"/>
  <c r="G711" i="5"/>
  <c r="G716" i="5" s="1"/>
  <c r="G723" i="5" s="1"/>
  <c r="G734" i="5" s="1"/>
  <c r="G724" i="5"/>
  <c r="G700" i="5"/>
  <c r="P730" i="5"/>
  <c r="F762" i="5"/>
  <c r="E771" i="5"/>
  <c r="E766" i="5"/>
  <c r="D775" i="5"/>
  <c r="D761" i="5"/>
  <c r="D770" i="5" s="1"/>
  <c r="Q719" i="5"/>
  <c r="E763" i="5"/>
  <c r="D772" i="5"/>
  <c r="E767" i="5"/>
  <c r="D776" i="5"/>
  <c r="K699" i="5"/>
  <c r="K711" i="5"/>
  <c r="D711" i="5"/>
  <c r="D699" i="5"/>
  <c r="P690" i="5"/>
  <c r="P699" i="5" s="1"/>
  <c r="H736" i="5" l="1"/>
  <c r="P736" i="5" s="1"/>
  <c r="Q725" i="5"/>
  <c r="G735" i="5"/>
  <c r="P735" i="5" s="1"/>
  <c r="Q724" i="5"/>
  <c r="F766" i="5"/>
  <c r="E775" i="5"/>
  <c r="G762" i="5"/>
  <c r="F771" i="5"/>
  <c r="F767" i="5"/>
  <c r="E776" i="5"/>
  <c r="F763" i="5"/>
  <c r="E772" i="5"/>
  <c r="E761" i="5"/>
  <c r="E770" i="5" s="1"/>
  <c r="K716" i="5"/>
  <c r="K723" i="5" s="1"/>
  <c r="K734" i="5" s="1"/>
  <c r="D716" i="5"/>
  <c r="D723" i="5" s="1"/>
  <c r="D734" i="5" s="1"/>
  <c r="Q723" i="5" l="1"/>
  <c r="D765" i="5"/>
  <c r="F761" i="5"/>
  <c r="G763" i="5"/>
  <c r="F772" i="5"/>
  <c r="G767" i="5"/>
  <c r="F776" i="5"/>
  <c r="H762" i="5"/>
  <c r="G771" i="5"/>
  <c r="G766" i="5"/>
  <c r="F775" i="5"/>
  <c r="P734" i="5"/>
  <c r="H766" i="5" l="1"/>
  <c r="G775" i="5"/>
  <c r="I762" i="5"/>
  <c r="H771" i="5"/>
  <c r="H767" i="5"/>
  <c r="G776" i="5"/>
  <c r="H763" i="5"/>
  <c r="G772" i="5"/>
  <c r="G761" i="5"/>
  <c r="F770" i="5"/>
  <c r="E765" i="5"/>
  <c r="D774" i="5"/>
  <c r="F765" i="5" l="1"/>
  <c r="E774" i="5"/>
  <c r="H761" i="5"/>
  <c r="G770" i="5"/>
  <c r="I763" i="5"/>
  <c r="H772" i="5"/>
  <c r="I767" i="5"/>
  <c r="H776" i="5"/>
  <c r="J762" i="5"/>
  <c r="I771" i="5"/>
  <c r="I766" i="5"/>
  <c r="H775" i="5"/>
  <c r="J766" i="5" l="1"/>
  <c r="I775" i="5"/>
  <c r="K762" i="5"/>
  <c r="J771" i="5"/>
  <c r="J767" i="5"/>
  <c r="I776" i="5"/>
  <c r="J763" i="5"/>
  <c r="I772" i="5"/>
  <c r="I761" i="5"/>
  <c r="H770" i="5"/>
  <c r="G765" i="5"/>
  <c r="F774" i="5"/>
  <c r="H765" i="5" l="1"/>
  <c r="G774" i="5"/>
  <c r="J761" i="5"/>
  <c r="I770" i="5"/>
  <c r="K763" i="5"/>
  <c r="J772" i="5"/>
  <c r="K767" i="5"/>
  <c r="J776" i="5"/>
  <c r="L762" i="5"/>
  <c r="K771" i="5"/>
  <c r="K766" i="5"/>
  <c r="J775" i="5"/>
  <c r="L766" i="5" l="1"/>
  <c r="K775" i="5"/>
  <c r="M762" i="5"/>
  <c r="L771" i="5"/>
  <c r="L767" i="5"/>
  <c r="K776" i="5"/>
  <c r="L763" i="5"/>
  <c r="K772" i="5"/>
  <c r="K761" i="5"/>
  <c r="J770" i="5"/>
  <c r="I765" i="5"/>
  <c r="H774" i="5"/>
  <c r="J765" i="5" l="1"/>
  <c r="I774" i="5"/>
  <c r="L761" i="5"/>
  <c r="K770" i="5"/>
  <c r="M763" i="5"/>
  <c r="L772" i="5"/>
  <c r="M767" i="5"/>
  <c r="L776" i="5"/>
  <c r="N762" i="5"/>
  <c r="M771" i="5"/>
  <c r="M766" i="5"/>
  <c r="L775" i="5"/>
  <c r="N766" i="5" l="1"/>
  <c r="M775" i="5"/>
  <c r="O762" i="5"/>
  <c r="N771" i="5"/>
  <c r="N767" i="5"/>
  <c r="M776" i="5"/>
  <c r="N763" i="5"/>
  <c r="M772" i="5"/>
  <c r="M761" i="5"/>
  <c r="L770" i="5"/>
  <c r="K765" i="5"/>
  <c r="J774" i="5"/>
  <c r="L765" i="5" l="1"/>
  <c r="K774" i="5"/>
  <c r="N761" i="5"/>
  <c r="M770" i="5"/>
  <c r="O763" i="5"/>
  <c r="N772" i="5"/>
  <c r="O767" i="5"/>
  <c r="N776" i="5"/>
  <c r="O771" i="5"/>
  <c r="J752" i="5"/>
  <c r="K10" i="4" s="1"/>
  <c r="O766" i="5"/>
  <c r="N775" i="5"/>
  <c r="S752" i="5" l="1"/>
  <c r="T10" i="4" s="1"/>
  <c r="J753" i="5"/>
  <c r="K11" i="4" s="1"/>
  <c r="O775" i="5"/>
  <c r="K753" i="5"/>
  <c r="L11" i="4" s="1"/>
  <c r="O776" i="5"/>
  <c r="K752" i="5"/>
  <c r="L10" i="4" s="1"/>
  <c r="O772" i="5"/>
  <c r="O761" i="5"/>
  <c r="N770" i="5"/>
  <c r="M765" i="5"/>
  <c r="L774" i="5"/>
  <c r="T752" i="5" l="1"/>
  <c r="U10" i="4" s="1"/>
  <c r="T753" i="5"/>
  <c r="U11" i="4" s="1"/>
  <c r="S753" i="5"/>
  <c r="T11" i="4" s="1"/>
  <c r="D744" i="5"/>
  <c r="N752" i="5" s="1"/>
  <c r="O10" i="4" s="1"/>
  <c r="D745" i="5"/>
  <c r="O752" i="5" s="1"/>
  <c r="P10" i="4" s="1"/>
  <c r="N765" i="5"/>
  <c r="M774" i="5"/>
  <c r="O770" i="5"/>
  <c r="H752" i="5"/>
  <c r="I10" i="4" s="1"/>
  <c r="Q752" i="5" l="1"/>
  <c r="R10" i="4" s="1"/>
  <c r="P752" i="5"/>
  <c r="Q10" i="4" s="1"/>
  <c r="F752" i="5"/>
  <c r="G10" i="4" s="1"/>
  <c r="E752" i="5"/>
  <c r="F10" i="4" s="1"/>
  <c r="O765" i="5"/>
  <c r="N774" i="5"/>
  <c r="G752" i="5" l="1"/>
  <c r="H10" i="4" s="1"/>
  <c r="H753" i="5"/>
  <c r="I11" i="4" s="1"/>
  <c r="O774" i="5"/>
  <c r="Q753" i="5" l="1"/>
  <c r="R11" i="4" s="1"/>
  <c r="G34" i="6" l="1"/>
  <c r="I71" i="7" l="1"/>
  <c r="I64" i="7"/>
  <c r="L69" i="7"/>
  <c r="L62" i="7"/>
  <c r="C83" i="6"/>
  <c r="L63" i="7"/>
  <c r="L70" i="7"/>
  <c r="I69" i="7"/>
  <c r="I63" i="7"/>
  <c r="C44" i="6"/>
  <c r="I62" i="7"/>
  <c r="I70" i="7"/>
  <c r="M27" i="9" l="1"/>
  <c r="M23" i="9"/>
  <c r="L72" i="7"/>
  <c r="C84" i="6" s="1"/>
  <c r="L65" i="7"/>
  <c r="I72" i="7"/>
  <c r="C45" i="6" s="1"/>
  <c r="H374" i="6" s="1"/>
  <c r="P374" i="6" s="1"/>
  <c r="Q374" i="6" s="1"/>
  <c r="I374" i="6" s="1"/>
  <c r="I65" i="7"/>
  <c r="M30" i="9" l="1"/>
  <c r="G375" i="6" s="1"/>
  <c r="H375" i="6"/>
  <c r="P375" i="6" s="1"/>
  <c r="Q375" i="6" s="1"/>
  <c r="I375" i="6" s="1"/>
  <c r="J13" i="4" s="1"/>
  <c r="S13" i="4" s="1"/>
  <c r="I12" i="4"/>
  <c r="R12" i="4" s="1"/>
  <c r="J12" i="4"/>
  <c r="S12" i="4" s="1"/>
  <c r="F375" i="6" l="1"/>
  <c r="H13" i="4"/>
  <c r="Q13" i="4" s="1"/>
  <c r="I13" i="4"/>
  <c r="R13" i="4" s="1"/>
  <c r="E375" i="6" l="1"/>
  <c r="F13" i="4" s="1"/>
  <c r="G13" i="4"/>
  <c r="P13" i="4" s="1"/>
  <c r="W13" i="4" l="1"/>
  <c r="V13" i="4"/>
  <c r="O13" i="4"/>
</calcChain>
</file>

<file path=xl/comments1.xml><?xml version="1.0" encoding="utf-8"?>
<comments xmlns="http://schemas.openxmlformats.org/spreadsheetml/2006/main">
  <authors>
    <author>Auteur</author>
  </authors>
  <commentList>
    <comment ref="G3" authorId="0">
      <text>
        <r>
          <rPr>
            <b/>
            <sz val="9"/>
            <color indexed="81"/>
            <rFont val="Tahoma"/>
            <family val="2"/>
          </rPr>
          <t>Auteur:</t>
        </r>
        <r>
          <rPr>
            <sz val="9"/>
            <color indexed="81"/>
            <rFont val="Tahoma"/>
            <family val="2"/>
          </rPr>
          <t xml:space="preserve">
Quantité de litière brut (paille, copeaux, sciure) utilisé pour les animaux.</t>
        </r>
      </text>
    </comment>
    <comment ref="E14" authorId="0">
      <text>
        <r>
          <rPr>
            <b/>
            <sz val="8"/>
            <color indexed="81"/>
            <rFont val="Tahoma"/>
            <family val="2"/>
          </rPr>
          <t>Auteur:</t>
        </r>
        <r>
          <rPr>
            <sz val="8"/>
            <color indexed="81"/>
            <rFont val="Tahoma"/>
            <family val="2"/>
          </rPr>
          <t xml:space="preserve">
Truies et verrats: Nombre d'animaux</t>
        </r>
        <r>
          <rPr>
            <u/>
            <sz val="8"/>
            <color indexed="81"/>
            <rFont val="Tahoma"/>
            <family val="2"/>
          </rPr>
          <t xml:space="preserve"> présents</t>
        </r>
        <r>
          <rPr>
            <sz val="8"/>
            <color indexed="81"/>
            <rFont val="Tahoma"/>
            <family val="2"/>
          </rPr>
          <t xml:space="preserve"> en moyenne sur la période considérée
Porcs charcutiers et porcelets: nombre d'animaux</t>
        </r>
        <r>
          <rPr>
            <u/>
            <sz val="8"/>
            <color indexed="81"/>
            <rFont val="Tahoma"/>
            <family val="2"/>
          </rPr>
          <t xml:space="preserve"> produits</t>
        </r>
        <r>
          <rPr>
            <sz val="8"/>
            <color indexed="81"/>
            <rFont val="Tahoma"/>
            <family val="2"/>
          </rPr>
          <t xml:space="preserve"> sur la période considérée </t>
        </r>
        <r>
          <rPr>
            <u/>
            <sz val="8"/>
            <color indexed="81"/>
            <rFont val="Tahoma"/>
            <family val="2"/>
          </rPr>
          <t>(qu'ils sortent ou non de l'exploitation à l'issu de leur stade physiologique</t>
        </r>
        <r>
          <rPr>
            <sz val="8"/>
            <color indexed="81"/>
            <rFont val="Tahoma"/>
            <family val="2"/>
          </rPr>
          <t xml:space="preserve">).
En remplissant les effectifs de façon simplifiée:
- Seules les rejets forfaitaires "standard" ou "biphase" sont à utiliser (voir onglet "Aliment")
- Les pertes d'azote par volatilisation s'adaptent toutefois à la période d'épandage choisie et à la présence (ou non) d'une couverture de stockage (lisier uniquement)
Si l'on souhaite davantage de précision, il faut conjointement préciser la composition des aliment </t>
        </r>
        <r>
          <rPr>
            <u/>
            <sz val="8"/>
            <color indexed="81"/>
            <rFont val="Tahoma"/>
            <family val="2"/>
          </rPr>
          <t>et</t>
        </r>
        <r>
          <rPr>
            <sz val="8"/>
            <color indexed="81"/>
            <rFont val="Tahoma"/>
            <family val="2"/>
          </rPr>
          <t xml:space="preserve"> renseigner les effectifs de façon détaillée (variation de stock des animaux, vente de reproducteur, équarrissage...) sur le modèle du Bilan Réel Simplifié. Dans ce cas, supprimer tous les effectifs de cette colonne (les effectifs simplifiées demeurent prioritaires aux effectifs détaillés).
Bien vérifier que les effectifs correspondent à l'ouvrage de stockage visé</t>
        </r>
      </text>
    </comment>
    <comment ref="G14" authorId="0">
      <text>
        <r>
          <rPr>
            <b/>
            <sz val="9"/>
            <color indexed="81"/>
            <rFont val="Tahoma"/>
            <family val="2"/>
          </rPr>
          <t>Auteur:</t>
        </r>
        <r>
          <rPr>
            <sz val="9"/>
            <color indexed="81"/>
            <rFont val="Tahoma"/>
            <family val="2"/>
          </rPr>
          <t xml:space="preserve">
A ne renseigner que dans le cadre d'un Bilan Réel Simplifié.
Déjà pris en compte si l'option "Alimentation standard" et "Alimentation biphase" est retenu dans l'onglet "Porc (Aliments)"</t>
        </r>
      </text>
    </comment>
  </commentList>
</comments>
</file>

<file path=xl/comments2.xml><?xml version="1.0" encoding="utf-8"?>
<comments xmlns="http://schemas.openxmlformats.org/spreadsheetml/2006/main">
  <authors>
    <author>Auteur</author>
  </authors>
  <commentList>
    <comment ref="D3" authorId="0">
      <text>
        <r>
          <rPr>
            <b/>
            <sz val="9"/>
            <color indexed="81"/>
            <rFont val="Tahoma"/>
            <family val="2"/>
          </rPr>
          <t>Auteur:</t>
        </r>
        <r>
          <rPr>
            <sz val="9"/>
            <color indexed="81"/>
            <rFont val="Tahoma"/>
            <family val="2"/>
          </rPr>
          <t xml:space="preserve">
</t>
        </r>
        <r>
          <rPr>
            <sz val="14"/>
            <color indexed="81"/>
            <rFont val="Tahoma"/>
            <family val="2"/>
          </rPr>
          <t>Quantité de lait moyenne produit sur l'année (en kg) par vache sur l'élevage</t>
        </r>
      </text>
    </comment>
    <comment ref="F3" authorId="0">
      <text>
        <r>
          <rPr>
            <b/>
            <sz val="8"/>
            <color indexed="81"/>
            <rFont val="Tahoma"/>
            <family val="2"/>
          </rPr>
          <t>Auteur:</t>
        </r>
        <r>
          <rPr>
            <sz val="8"/>
            <color indexed="81"/>
            <rFont val="Tahoma"/>
            <family val="2"/>
          </rPr>
          <t xml:space="preserve">
</t>
        </r>
        <r>
          <rPr>
            <sz val="16"/>
            <color indexed="81"/>
            <rFont val="Tahoma"/>
            <family val="2"/>
          </rPr>
          <t>ex si 100% pâturage alors 2*2h traite=4 heure en bâtiment.</t>
        </r>
      </text>
    </comment>
    <comment ref="D4" authorId="0">
      <text>
        <r>
          <rPr>
            <b/>
            <sz val="9"/>
            <color indexed="81"/>
            <rFont val="Tahoma"/>
            <family val="2"/>
          </rPr>
          <t>Auteur:</t>
        </r>
        <r>
          <rPr>
            <sz val="9"/>
            <color indexed="81"/>
            <rFont val="Tahoma"/>
            <family val="2"/>
          </rPr>
          <t xml:space="preserve">
</t>
        </r>
        <r>
          <rPr>
            <sz val="16"/>
            <color indexed="81"/>
            <rFont val="Tahoma"/>
            <family val="2"/>
          </rPr>
          <t>Taux protéique moyen sur l'élevage (en g/L de lait)</t>
        </r>
      </text>
    </comment>
    <comment ref="D5" authorId="0">
      <text>
        <r>
          <rPr>
            <b/>
            <sz val="9"/>
            <color indexed="81"/>
            <rFont val="Tahoma"/>
            <family val="2"/>
          </rPr>
          <t>Auteur:</t>
        </r>
        <r>
          <rPr>
            <sz val="9"/>
            <color indexed="81"/>
            <rFont val="Tahoma"/>
            <family val="2"/>
          </rPr>
          <t xml:space="preserve">
</t>
        </r>
        <r>
          <rPr>
            <sz val="16"/>
            <color indexed="81"/>
            <rFont val="Tahoma"/>
            <family val="2"/>
          </rPr>
          <t>Taux butyique moyen sur l'élevage (en g/L de lait)</t>
        </r>
      </text>
    </comment>
    <comment ref="D6" authorId="0">
      <text>
        <r>
          <rPr>
            <b/>
            <sz val="9"/>
            <color indexed="81"/>
            <rFont val="Tahoma"/>
            <family val="2"/>
          </rPr>
          <t>Auteur:</t>
        </r>
        <r>
          <rPr>
            <sz val="9"/>
            <color indexed="81"/>
            <rFont val="Tahoma"/>
            <family val="2"/>
          </rPr>
          <t xml:space="preserve">
</t>
        </r>
        <r>
          <rPr>
            <sz val="16"/>
            <color indexed="81"/>
            <rFont val="Tahoma"/>
            <family val="2"/>
          </rPr>
          <t>Poids vif moyen  des vaches laitières sur l'année</t>
        </r>
      </text>
    </comment>
    <comment ref="F12"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17"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21"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25"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30" authorId="0">
      <text>
        <r>
          <rPr>
            <b/>
            <sz val="9"/>
            <color indexed="81"/>
            <rFont val="Tahoma"/>
            <family val="2"/>
          </rPr>
          <t>Auteur:</t>
        </r>
        <r>
          <rPr>
            <sz val="16"/>
            <color indexed="81"/>
            <rFont val="Tahoma"/>
            <family val="2"/>
          </rPr>
          <t xml:space="preserve">
On suppose que quand les animaux sont dehors, ils le sont 100%.</t>
        </r>
      </text>
    </comment>
    <comment ref="F34"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F38" authorId="0">
      <text>
        <r>
          <rPr>
            <b/>
            <sz val="8"/>
            <color indexed="81"/>
            <rFont val="Tahoma"/>
            <family val="2"/>
          </rPr>
          <t>Auteur:</t>
        </r>
        <r>
          <rPr>
            <sz val="8"/>
            <color indexed="81"/>
            <rFont val="Tahoma"/>
            <family val="2"/>
          </rPr>
          <t xml:space="preserve">
</t>
        </r>
        <r>
          <rPr>
            <sz val="16"/>
            <color indexed="81"/>
            <rFont val="Tahoma"/>
            <family val="2"/>
          </rPr>
          <t>On suppose que quand les animaux sont dehors, ils le sont 100%.</t>
        </r>
      </text>
    </comment>
    <comment ref="C53" authorId="0">
      <text>
        <r>
          <rPr>
            <b/>
            <sz val="8"/>
            <color indexed="81"/>
            <rFont val="Tahoma"/>
            <family val="2"/>
          </rPr>
          <t>Auteur:</t>
        </r>
        <r>
          <rPr>
            <sz val="8"/>
            <color indexed="81"/>
            <rFont val="Tahoma"/>
            <family val="2"/>
          </rPr>
          <t xml:space="preserve">
possibilité d'enlever la liste ici et d'aller la chercher sur la feuille de saisie commune…selon souhaits partenaires pour feuille commune</t>
        </r>
      </text>
    </comment>
  </commentList>
</comments>
</file>

<file path=xl/comments3.xml><?xml version="1.0" encoding="utf-8"?>
<comments xmlns="http://schemas.openxmlformats.org/spreadsheetml/2006/main">
  <authors>
    <author>Auteur</author>
  </authors>
  <commentList>
    <comment ref="A10" authorId="0">
      <text>
        <r>
          <rPr>
            <b/>
            <sz val="8"/>
            <color indexed="81"/>
            <rFont val="Tahoma"/>
            <family val="2"/>
          </rPr>
          <t>Auteur:</t>
        </r>
        <r>
          <rPr>
            <sz val="8"/>
            <color indexed="81"/>
            <rFont val="Tahoma"/>
            <family val="2"/>
          </rPr>
          <t xml:space="preserve">
On considère GMQ VL=0 ainsi on ne compte que le veau.</t>
        </r>
      </text>
    </comment>
    <comment ref="B670" authorId="0">
      <text>
        <r>
          <rPr>
            <b/>
            <sz val="8"/>
            <color indexed="81"/>
            <rFont val="Tahoma"/>
            <family val="2"/>
          </rPr>
          <t>Auteur:</t>
        </r>
        <r>
          <rPr>
            <sz val="8"/>
            <color indexed="81"/>
            <rFont val="Tahoma"/>
            <family val="2"/>
          </rPr>
          <t xml:space="preserve">
Auteur:
FS=fraction à stocker 
Ce coeff permet d'intégrer l'évaporation. Il est basé sur une évaportaion inversement proportionnelle à l'intensité de la pluie.
Cf. Cir déc 2001</t>
        </r>
      </text>
    </comment>
  </commentList>
</comments>
</file>

<file path=xl/comments4.xml><?xml version="1.0" encoding="utf-8"?>
<comments xmlns="http://schemas.openxmlformats.org/spreadsheetml/2006/main">
  <authors>
    <author>Auteur</author>
  </authors>
  <commentList>
    <comment ref="B6" authorId="0">
      <text>
        <r>
          <rPr>
            <b/>
            <sz val="8"/>
            <color indexed="81"/>
            <rFont val="Tahoma"/>
            <family val="2"/>
          </rPr>
          <t>Auteur:</t>
        </r>
        <r>
          <rPr>
            <sz val="8"/>
            <color indexed="81"/>
            <rFont val="Tahoma"/>
            <family val="2"/>
          </rPr>
          <t xml:space="preserve">
coeff à revoir coeffe sans veau
</t>
        </r>
      </text>
    </comment>
    <comment ref="H41" authorId="0">
      <text>
        <r>
          <rPr>
            <b/>
            <sz val="8"/>
            <color indexed="81"/>
            <rFont val="Tahoma"/>
            <family val="2"/>
          </rPr>
          <t>Auteur:</t>
        </r>
        <r>
          <rPr>
            <sz val="8"/>
            <color indexed="81"/>
            <rFont val="Tahoma"/>
            <family val="2"/>
          </rPr>
          <t xml:space="preserve">
valeurs qui correspondent à peu près dans Guide alim</t>
        </r>
      </text>
    </comment>
    <comment ref="I41" authorId="0">
      <text>
        <r>
          <rPr>
            <b/>
            <sz val="8"/>
            <color indexed="81"/>
            <rFont val="Tahoma"/>
            <family val="2"/>
          </rPr>
          <t>Auteur:</t>
        </r>
        <r>
          <rPr>
            <sz val="8"/>
            <color indexed="81"/>
            <rFont val="Tahoma"/>
            <family val="2"/>
          </rPr>
          <t xml:space="preserve">
idem PDIE</t>
        </r>
      </text>
    </comment>
    <comment ref="B47" authorId="0">
      <text>
        <r>
          <rPr>
            <b/>
            <sz val="8"/>
            <color indexed="81"/>
            <rFont val="Tahoma"/>
            <family val="2"/>
          </rPr>
          <t>Auteur:</t>
        </r>
        <r>
          <rPr>
            <sz val="8"/>
            <color indexed="81"/>
            <rFont val="Tahoma"/>
            <family val="2"/>
          </rPr>
          <t xml:space="preserve">
guide alim=18,56</t>
        </r>
      </text>
    </comment>
    <comment ref="C47" authorId="0">
      <text>
        <r>
          <rPr>
            <b/>
            <sz val="8"/>
            <color indexed="81"/>
            <rFont val="Tahoma"/>
            <family val="2"/>
          </rPr>
          <t>Auteur:</t>
        </r>
        <r>
          <rPr>
            <sz val="8"/>
            <color indexed="81"/>
            <rFont val="Tahoma"/>
            <family val="2"/>
          </rPr>
          <t xml:space="preserve">
guide alim =4
</t>
        </r>
      </text>
    </comment>
    <comment ref="D47" authorId="0">
      <text>
        <r>
          <rPr>
            <b/>
            <sz val="8"/>
            <color indexed="81"/>
            <rFont val="Tahoma"/>
            <family val="2"/>
          </rPr>
          <t>Auteur:</t>
        </r>
        <r>
          <rPr>
            <sz val="8"/>
            <color indexed="81"/>
            <rFont val="Tahoma"/>
            <family val="2"/>
          </rPr>
          <t xml:space="preserve">
tables inra= 4,16
</t>
        </r>
      </text>
    </comment>
    <comment ref="G47" authorId="0">
      <text>
        <r>
          <rPr>
            <b/>
            <sz val="8"/>
            <color indexed="81"/>
            <rFont val="Tahoma"/>
            <family val="2"/>
          </rPr>
          <t>Auteur:</t>
        </r>
        <r>
          <rPr>
            <sz val="8"/>
            <color indexed="81"/>
            <rFont val="Tahoma"/>
            <family val="2"/>
          </rPr>
          <t xml:space="preserve">
guide alim = 1,09
</t>
        </r>
      </text>
    </comment>
    <comment ref="B48" authorId="0">
      <text>
        <r>
          <rPr>
            <b/>
            <sz val="8"/>
            <color indexed="81"/>
            <rFont val="Tahoma"/>
            <family val="2"/>
          </rPr>
          <t>Auteur:</t>
        </r>
        <r>
          <rPr>
            <sz val="8"/>
            <color indexed="81"/>
            <rFont val="Tahoma"/>
            <family val="2"/>
          </rPr>
          <t xml:space="preserve">
guide alim: 516 mat/6,25=82,56</t>
        </r>
      </text>
    </comment>
    <comment ref="C48" authorId="0">
      <text>
        <r>
          <rPr>
            <b/>
            <sz val="8"/>
            <color indexed="81"/>
            <rFont val="Tahoma"/>
            <family val="2"/>
          </rPr>
          <t>Auteur:</t>
        </r>
        <r>
          <rPr>
            <sz val="8"/>
            <color indexed="81"/>
            <rFont val="Tahoma"/>
            <family val="2"/>
          </rPr>
          <t xml:space="preserve">
Guide alim: 7,1
</t>
        </r>
      </text>
    </comment>
    <comment ref="D48" authorId="0">
      <text>
        <r>
          <rPr>
            <b/>
            <sz val="8"/>
            <color indexed="81"/>
            <rFont val="Tahoma"/>
            <family val="2"/>
          </rPr>
          <t>Auteur:</t>
        </r>
        <r>
          <rPr>
            <sz val="8"/>
            <color indexed="81"/>
            <rFont val="Tahoma"/>
            <family val="2"/>
          </rPr>
          <t xml:space="preserve">
tables inra: 21,1 g/kg PB *0,878 %MS = 18,5 g/kg de MS
</t>
        </r>
      </text>
    </comment>
    <comment ref="G48" authorId="0">
      <text>
        <r>
          <rPr>
            <b/>
            <sz val="8"/>
            <color indexed="81"/>
            <rFont val="Tahoma"/>
            <family val="2"/>
          </rPr>
          <t>Auteur:</t>
        </r>
        <r>
          <rPr>
            <sz val="8"/>
            <color indexed="81"/>
            <rFont val="Tahoma"/>
            <family val="2"/>
          </rPr>
          <t xml:space="preserve">
Guide alim° VL: 1,21 pour T soja 48</t>
        </r>
      </text>
    </comment>
    <comment ref="B62" authorId="0">
      <text>
        <r>
          <rPr>
            <b/>
            <sz val="8"/>
            <color indexed="81"/>
            <rFont val="Tahoma"/>
            <family val="2"/>
          </rPr>
          <t>Auteur:</t>
        </r>
        <r>
          <rPr>
            <sz val="8"/>
            <color indexed="81"/>
            <rFont val="Tahoma"/>
            <family val="2"/>
          </rPr>
          <t xml:space="preserve">
proportion de lisier obtenue avec un mode de logement donné</t>
        </r>
      </text>
    </comment>
    <comment ref="C62" authorId="0">
      <text>
        <r>
          <rPr>
            <b/>
            <sz val="8"/>
            <color indexed="81"/>
            <rFont val="Tahoma"/>
            <family val="2"/>
          </rPr>
          <t>Auteur:</t>
        </r>
        <r>
          <rPr>
            <sz val="8"/>
            <color indexed="81"/>
            <rFont val="Tahoma"/>
            <family val="2"/>
          </rPr>
          <t xml:space="preserve">
proportion de fumier obtenue pour un mode de logement donné</t>
        </r>
      </text>
    </comment>
    <comment ref="D62" authorId="0">
      <text>
        <r>
          <rPr>
            <b/>
            <sz val="8"/>
            <color indexed="81"/>
            <rFont val="Tahoma"/>
            <family val="2"/>
          </rPr>
          <t>Auteur:</t>
        </r>
        <r>
          <rPr>
            <sz val="8"/>
            <color indexed="81"/>
            <rFont val="Tahoma"/>
            <family val="2"/>
          </rPr>
          <t xml:space="preserve">
proportion du volume de jus associé au type de fumier produit par ce mode de logement.</t>
        </r>
      </text>
    </comment>
    <comment ref="F62" authorId="0">
      <text>
        <r>
          <rPr>
            <b/>
            <sz val="8"/>
            <color indexed="81"/>
            <rFont val="Tahoma"/>
            <family val="2"/>
          </rPr>
          <t>Auteur:</t>
        </r>
        <r>
          <rPr>
            <sz val="8"/>
            <color indexed="81"/>
            <rFont val="Tahoma"/>
            <family val="2"/>
          </rPr>
          <t xml:space="preserve">
Densité du fumier/lisier; si lisier la densité n'est pas utilisée dans les formules de calculs (assimilée à 1),uniquement pour fumier.</t>
        </r>
      </text>
    </comment>
    <comment ref="N62" authorId="0">
      <text>
        <r>
          <rPr>
            <b/>
            <sz val="8"/>
            <color indexed="81"/>
            <rFont val="Tahoma"/>
            <family val="2"/>
          </rPr>
          <t>Auteur:</t>
        </r>
        <r>
          <rPr>
            <sz val="8"/>
            <color indexed="81"/>
            <rFont val="Tahoma"/>
            <family val="2"/>
          </rPr>
          <t xml:space="preserve">
source: fertiliser avec les engrais de fermes</t>
        </r>
      </text>
    </comment>
    <comment ref="A99" authorId="0">
      <text>
        <r>
          <rPr>
            <b/>
            <sz val="8"/>
            <color indexed="81"/>
            <rFont val="Tahoma"/>
            <family val="2"/>
          </rPr>
          <t>Auteur:</t>
        </r>
        <r>
          <rPr>
            <sz val="8"/>
            <color indexed="81"/>
            <rFont val="Tahoma"/>
            <family val="2"/>
          </rPr>
          <t xml:space="preserve">
Calcul des qté excrétés en kg/mois</t>
        </r>
      </text>
    </comment>
    <comment ref="N106" authorId="0">
      <text>
        <r>
          <rPr>
            <b/>
            <sz val="8"/>
            <color indexed="81"/>
            <rFont val="Tahoma"/>
            <family val="2"/>
          </rPr>
          <t>Auteur:</t>
        </r>
        <r>
          <rPr>
            <sz val="8"/>
            <color indexed="81"/>
            <rFont val="Tahoma"/>
            <family val="2"/>
          </rPr>
          <t xml:space="preserve">
source: fertiliser avec les engrais de fermes</t>
        </r>
      </text>
    </comment>
    <comment ref="A124" authorId="0">
      <text>
        <r>
          <rPr>
            <b/>
            <sz val="8"/>
            <color indexed="81"/>
            <rFont val="Tahoma"/>
            <family val="2"/>
          </rPr>
          <t>Auteur:</t>
        </r>
        <r>
          <rPr>
            <sz val="8"/>
            <color indexed="81"/>
            <rFont val="Tahoma"/>
            <family val="2"/>
          </rPr>
          <t xml:space="preserve">
Calcul des qté excrétés en g/mois</t>
        </r>
      </text>
    </comment>
    <comment ref="A141" authorId="0">
      <text>
        <r>
          <rPr>
            <b/>
            <sz val="8"/>
            <color indexed="81"/>
            <rFont val="Tahoma"/>
            <family val="2"/>
          </rPr>
          <t>Auteur:</t>
        </r>
        <r>
          <rPr>
            <sz val="8"/>
            <color indexed="81"/>
            <rFont val="Tahoma"/>
            <family val="2"/>
          </rPr>
          <t xml:space="preserve">
Calcul des qté excrétés en g/mois</t>
        </r>
      </text>
    </comment>
    <comment ref="A158" authorId="0">
      <text>
        <r>
          <rPr>
            <b/>
            <sz val="8"/>
            <color indexed="81"/>
            <rFont val="Tahoma"/>
            <family val="2"/>
          </rPr>
          <t>Auteur:</t>
        </r>
        <r>
          <rPr>
            <sz val="8"/>
            <color indexed="81"/>
            <rFont val="Tahoma"/>
            <family val="2"/>
          </rPr>
          <t xml:space="preserve">
Guide alim</t>
        </r>
      </text>
    </comment>
    <comment ref="B158" authorId="0">
      <text>
        <r>
          <rPr>
            <b/>
            <sz val="8"/>
            <color indexed="81"/>
            <rFont val="Tahoma"/>
            <family val="2"/>
          </rPr>
          <t>Auteur:</t>
        </r>
        <r>
          <rPr>
            <sz val="8"/>
            <color indexed="81"/>
            <rFont val="Tahoma"/>
            <family val="2"/>
          </rPr>
          <t xml:space="preserve">
Guide alim</t>
        </r>
      </text>
    </comment>
    <comment ref="C158" authorId="0">
      <text>
        <r>
          <rPr>
            <b/>
            <sz val="8"/>
            <color indexed="81"/>
            <rFont val="Tahoma"/>
            <family val="2"/>
          </rPr>
          <t>Auteur:</t>
        </r>
        <r>
          <rPr>
            <sz val="8"/>
            <color indexed="81"/>
            <rFont val="Tahoma"/>
            <family val="2"/>
          </rPr>
          <t xml:space="preserve">
Table INRA</t>
        </r>
      </text>
    </comment>
    <comment ref="B163" authorId="0">
      <text>
        <r>
          <rPr>
            <b/>
            <sz val="8"/>
            <color indexed="81"/>
            <rFont val="Tahoma"/>
            <family val="2"/>
          </rPr>
          <t>Auteur:</t>
        </r>
        <r>
          <rPr>
            <sz val="8"/>
            <color indexed="81"/>
            <rFont val="Tahoma"/>
            <family val="2"/>
          </rPr>
          <t xml:space="preserve">
Valeur à vérifier!!!
</t>
        </r>
      </text>
    </comment>
  </commentList>
</comments>
</file>

<file path=xl/comments5.xml><?xml version="1.0" encoding="utf-8"?>
<comments xmlns="http://schemas.openxmlformats.org/spreadsheetml/2006/main">
  <authors>
    <author>Auteur</author>
  </authors>
  <commentList>
    <comment ref="C2" authorId="0">
      <text>
        <r>
          <rPr>
            <b/>
            <sz val="9"/>
            <color indexed="81"/>
            <rFont val="Tahoma"/>
            <family val="2"/>
          </rPr>
          <t>Auteur:</t>
        </r>
        <r>
          <rPr>
            <sz val="9"/>
            <color indexed="81"/>
            <rFont val="Tahoma"/>
            <family val="2"/>
          </rPr>
          <t xml:space="preserve">
Si vous choississez de renseigner les effectifs détaillés, supprimer les effectifs "porc" simplifiés de la feuille de saisie commune</t>
        </r>
      </text>
    </comment>
  </commentList>
</comments>
</file>

<file path=xl/comments6.xml><?xml version="1.0" encoding="utf-8"?>
<comments xmlns="http://schemas.openxmlformats.org/spreadsheetml/2006/main">
  <authors>
    <author>Auteur</author>
  </authors>
  <commentList>
    <comment ref="D6" authorId="0">
      <text>
        <r>
          <rPr>
            <b/>
            <sz val="9"/>
            <color indexed="81"/>
            <rFont val="Tahoma"/>
            <family val="2"/>
          </rPr>
          <t>Auteur:</t>
        </r>
        <r>
          <rPr>
            <sz val="9"/>
            <color indexed="81"/>
            <rFont val="Tahoma"/>
            <family val="2"/>
          </rPr>
          <t xml:space="preserve">
Si la valeur est connue, que se soit pour la quantité d'effluent ou la pluviométrie annuelle, elle devient prioritaire par rapport à la valeur par défaut.
Dans ce cas:
. soit mettre qu'une seule fois la valeur globale et "o" sur les autres lignes </t>
        </r>
        <r>
          <rPr>
            <u/>
            <sz val="9"/>
            <color indexed="81"/>
            <rFont val="Tahoma"/>
            <family val="2"/>
          </rPr>
          <t>du même ouvrage de stockage</t>
        </r>
        <r>
          <rPr>
            <sz val="9"/>
            <color indexed="81"/>
            <rFont val="Tahoma"/>
            <family val="2"/>
          </rPr>
          <t>,
. soit mettre la valeur connue, spécifique pour chaque ligne du même ouvrage de stockage.
Si valeur non connue, ne pas mettre "0" mais supprimer toutes valeurs afin que la cellule reste vide.</t>
        </r>
      </text>
    </comment>
    <comment ref="L22" authorId="0">
      <text>
        <r>
          <rPr>
            <b/>
            <sz val="8"/>
            <color indexed="81"/>
            <rFont val="Tahoma"/>
            <family val="2"/>
          </rPr>
          <t>Auteur:</t>
        </r>
        <r>
          <rPr>
            <sz val="8"/>
            <color indexed="81"/>
            <rFont val="Tahoma"/>
            <family val="2"/>
          </rPr>
          <t xml:space="preserve">
Le coefficient final de 0,61 est la proportion de C fin stockage/C excrétion après avoir fait un certain nombre de simulation dans la colonne ci-dessous
</t>
        </r>
      </text>
    </comment>
  </commentList>
</comments>
</file>

<file path=xl/comments7.xml><?xml version="1.0" encoding="utf-8"?>
<comments xmlns="http://schemas.openxmlformats.org/spreadsheetml/2006/main">
  <authors>
    <author>Auteur</author>
  </authors>
  <commentList>
    <comment ref="E2" authorId="0">
      <text>
        <r>
          <rPr>
            <b/>
            <sz val="8"/>
            <color indexed="81"/>
            <rFont val="Tahoma"/>
            <family val="2"/>
          </rPr>
          <t>Auteur:</t>
        </r>
        <r>
          <rPr>
            <sz val="8"/>
            <color indexed="81"/>
            <rFont val="Tahoma"/>
            <family val="2"/>
          </rPr>
          <t xml:space="preserve">
Si choix de la "Méthode du BRS" (Bilan Réel Simplifié), veuillez remplir les consommations d'aliment ci-dessous.
Vérifier alors que les aliments correspondent bien aux catégories d'animaux et aux ouvrages de destination des effluents
Et </t>
        </r>
        <r>
          <rPr>
            <u/>
            <sz val="8"/>
            <color indexed="81"/>
            <rFont val="Tahoma"/>
            <family val="2"/>
          </rPr>
          <t>veuillez à remplir les effectifs détaillée</t>
        </r>
        <r>
          <rPr>
            <sz val="8"/>
            <color indexed="81"/>
            <rFont val="Tahoma"/>
            <family val="2"/>
          </rPr>
          <t>s et non simplifiés</t>
        </r>
      </text>
    </comment>
  </commentList>
</comments>
</file>

<file path=xl/comments8.xml><?xml version="1.0" encoding="utf-8"?>
<comments xmlns="http://schemas.openxmlformats.org/spreadsheetml/2006/main">
  <authors>
    <author>Auteur</author>
  </authors>
  <commentList>
    <comment ref="C278" authorId="0">
      <text>
        <r>
          <rPr>
            <b/>
            <sz val="8"/>
            <color indexed="81"/>
            <rFont val="Tahoma"/>
            <family val="2"/>
          </rPr>
          <t>Auteur:</t>
        </r>
        <r>
          <rPr>
            <sz val="8"/>
            <color indexed="81"/>
            <rFont val="Tahoma"/>
            <family val="2"/>
          </rPr>
          <t xml:space="preserve">
Le but est d'appliquer un coefficient de pondération de la proportion de dilution du lisier par les eaux de pluie selon la région et la saison d'épandage</t>
        </r>
      </text>
    </comment>
    <comment ref="F278" authorId="0">
      <text>
        <r>
          <rPr>
            <b/>
            <sz val="9"/>
            <color indexed="81"/>
            <rFont val="Tahoma"/>
            <family val="2"/>
          </rPr>
          <t>Auteur:</t>
        </r>
        <r>
          <rPr>
            <sz val="9"/>
            <color indexed="81"/>
            <rFont val="Tahoma"/>
            <family val="2"/>
          </rPr>
          <t xml:space="preserve">
Coefficient de modification de la concentration du lisier selon la saison d'épandage (doit rester sur 1 si couverture de la fosse - le lisier n'est pas plus concentré en été qu'en hiver - ou si choix "moyenne annuelle" car le différentiel de dilution lié à la zone géographique a déjà été pris en compte au niveau des volumes.
Pour l'instant, c'est assez basique, pas de différence de répartition de pluie été/hiver selon la zone géographique, c'est plus ou moins 20 % (cellule D 312/313)
</t>
        </r>
      </text>
    </comment>
    <comment ref="G278" authorId="0">
      <text>
        <r>
          <rPr>
            <b/>
            <sz val="8"/>
            <color indexed="81"/>
            <rFont val="Tahoma"/>
            <family val="2"/>
          </rPr>
          <t>Auteur:</t>
        </r>
        <r>
          <rPr>
            <sz val="8"/>
            <color indexed="81"/>
            <rFont val="Tahoma"/>
            <family val="2"/>
          </rPr>
          <t xml:space="preserve">
8 % d'abattement dans le cas d'une couverture, chiffre a faire varier selon la pluviométrie, ex: 12 % ici à Brest. Dans ces conditions, pas de variation saisonnière.</t>
        </r>
      </text>
    </comment>
    <comment ref="I284" authorId="0">
      <text>
        <r>
          <rPr>
            <b/>
            <sz val="8"/>
            <color indexed="81"/>
            <rFont val="Tahoma"/>
            <family val="2"/>
          </rPr>
          <t>Auteur:</t>
        </r>
        <r>
          <rPr>
            <sz val="8"/>
            <color indexed="81"/>
            <rFont val="Tahoma"/>
            <family val="2"/>
          </rPr>
          <t xml:space="preserve">
Application de la couverture (ou non), d'un ouvrage de stockage, sur le volume annuelle de lisier</t>
        </r>
      </text>
    </comment>
    <comment ref="I286" authorId="0">
      <text>
        <r>
          <rPr>
            <b/>
            <sz val="8"/>
            <color indexed="81"/>
            <rFont val="Tahoma"/>
            <family val="2"/>
          </rPr>
          <t>Auteur:</t>
        </r>
        <r>
          <rPr>
            <sz val="8"/>
            <color indexed="81"/>
            <rFont val="Tahoma"/>
            <family val="2"/>
          </rPr>
          <t xml:space="preserve">
Intervient pour le calcul du volume annuel de lisier, c'est le coefficient appliqué sur les 8,3 % (variable selon les régions). Exemple pour Brest 1,47 x 0,12 x volume unitaire de lisier/stade physiologique dans l'onglet "Porc (effluent)".</t>
        </r>
      </text>
    </comment>
    <comment ref="C309" authorId="0">
      <text>
        <r>
          <rPr>
            <b/>
            <sz val="8"/>
            <color indexed="81"/>
            <rFont val="Tahoma"/>
            <family val="2"/>
          </rPr>
          <t>Auteur:</t>
        </r>
        <r>
          <rPr>
            <sz val="8"/>
            <color indexed="81"/>
            <rFont val="Tahoma"/>
            <family val="2"/>
          </rPr>
          <t xml:space="preserve">
explication coeff de 0,0833
Selon Sandrine Espagnol qui a mené sa propre enquête auprès des constructeurs via Solène Lagadec, la hauteur moyenne des fosses serait de 3,5 m soit 3 m de hauteur totale utile de lisier 
. 50 cm de garde pour pluie et sécurité. 0,25/3,00 = 0,0833; c'est la proportion pour laquelle la pluie peut jouer dans le cas d'une fosse pleine si la fosse est effectivement couverte.
</t>
        </r>
      </text>
    </comment>
    <comment ref="C312" authorId="0">
      <text>
        <r>
          <rPr>
            <b/>
            <sz val="8"/>
            <color indexed="81"/>
            <rFont val="Tahoma"/>
            <family val="2"/>
          </rPr>
          <t>Auteur:</t>
        </r>
        <r>
          <rPr>
            <sz val="8"/>
            <color indexed="81"/>
            <rFont val="Tahoma"/>
            <family val="2"/>
          </rPr>
          <t xml:space="preserve">
Attention, ne pas raisonner sur une durée de stockage. Car plus la durée est grande, plus il y a de pluie à rentrer mais plus il y a également de lisier produit. C'est la proportion de pluviométrie été/hiver sur une même période de temps. Calcul fait sur  une dizaine de villes principalement Grand Ouest de la France (site Infoclimat,fr).  </t>
        </r>
      </text>
    </comment>
    <comment ref="F324" authorId="0">
      <text>
        <r>
          <rPr>
            <b/>
            <sz val="9"/>
            <color indexed="81"/>
            <rFont val="Tahoma"/>
            <family val="2"/>
          </rPr>
          <t>Auteur:</t>
        </r>
        <r>
          <rPr>
            <sz val="9"/>
            <color indexed="81"/>
            <rFont val="Tahoma"/>
            <family val="2"/>
          </rPr>
          <t xml:space="preserve">
Pour les lisiers hiver vs été 
T° bâtiment fixée à 20 et 24 °C
et prise en compte de la formule de Rigolot
à t° 20 ==&gt; VF= 0,917
à t° 24 ==&gt; VF=1,055</t>
        </r>
      </text>
    </comment>
    <comment ref="E325" authorId="0">
      <text>
        <r>
          <rPr>
            <b/>
            <sz val="9"/>
            <color indexed="81"/>
            <rFont val="Tahoma"/>
            <family val="2"/>
          </rPr>
          <t>Auteur:</t>
        </r>
        <r>
          <rPr>
            <sz val="9"/>
            <color indexed="81"/>
            <rFont val="Tahoma"/>
            <family val="2"/>
          </rPr>
          <t xml:space="preserve">
Prise en compte du stade physiologique selon calculateur Sandrine (donnée Corinair et Citepa)
</t>
        </r>
      </text>
    </comment>
    <comment ref="H325" authorId="0">
      <text>
        <r>
          <rPr>
            <b/>
            <sz val="9"/>
            <color indexed="81"/>
            <rFont val="Tahoma"/>
            <family val="2"/>
          </rPr>
          <t>Auteur:</t>
        </r>
        <r>
          <rPr>
            <sz val="9"/>
            <color indexed="81"/>
            <rFont val="Tahoma"/>
            <family val="2"/>
          </rPr>
          <t xml:space="preserve">
70 % d'abattement des émissions au stockage extérieur si présence d'une couverture</t>
        </r>
      </text>
    </comment>
    <comment ref="F330" authorId="0">
      <text>
        <r>
          <rPr>
            <b/>
            <sz val="9"/>
            <color indexed="81"/>
            <rFont val="Tahoma"/>
            <family val="2"/>
          </rPr>
          <t>Auteur:</t>
        </r>
        <r>
          <rPr>
            <sz val="9"/>
            <color indexed="81"/>
            <rFont val="Tahoma"/>
            <family val="2"/>
          </rPr>
          <t xml:space="preserve">
Facteur de perte d'azote x 1,1 si litière très bien menée
Coefficient de 1 si pas de précaution particulière</t>
        </r>
      </text>
    </comment>
    <comment ref="H330" authorId="0">
      <text>
        <r>
          <rPr>
            <b/>
            <sz val="9"/>
            <color indexed="81"/>
            <rFont val="Tahoma"/>
            <family val="2"/>
          </rPr>
          <t>Auteur:</t>
        </r>
        <r>
          <rPr>
            <sz val="9"/>
            <color indexed="81"/>
            <rFont val="Tahoma"/>
            <family val="2"/>
          </rPr>
          <t xml:space="preserve">
Selon article de Rigolot, coefficient de 
0,8 pour une t° extérieure de 5°C
1 pour une t° extérieure de 20 °C
1,1 pour une t° extérieure de 35 °C
Retenu ici:
0,9 pour un compost hivernal
1 pour un compost d'été
</t>
        </r>
      </text>
    </comment>
    <comment ref="I330" authorId="0">
      <text>
        <r>
          <rPr>
            <b/>
            <sz val="9"/>
            <color indexed="81"/>
            <rFont val="Tahoma"/>
            <family val="2"/>
          </rPr>
          <t>Auteur:</t>
        </r>
        <r>
          <rPr>
            <sz val="9"/>
            <color indexed="81"/>
            <rFont val="Tahoma"/>
            <family val="2"/>
          </rPr>
          <t xml:space="preserve">
Selon Article
1 si compostage court (moins de 2 mois)
1,4 si compostage long (plus de 6 mois)
Pb, quid entre 2 et 6 mois donc retenu:
1 si compostage court (moins de 2 mois)
1,2 entre 2 et 6 mois
1,4 si plus de 6 mois</t>
        </r>
      </text>
    </comment>
    <comment ref="R373" authorId="0">
      <text>
        <r>
          <rPr>
            <b/>
            <sz val="9"/>
            <color indexed="81"/>
            <rFont val="Tahoma"/>
            <family val="2"/>
          </rPr>
          <t>Auteur:</t>
        </r>
        <r>
          <rPr>
            <sz val="9"/>
            <color indexed="81"/>
            <rFont val="Tahoma"/>
            <family val="2"/>
          </rPr>
          <t xml:space="preserve">
Teneur azote ammoniacale fonction de la qté de NTK (sur la base de ma BDD)
Pour les lisiers R2=0,87 (n=603 valeurs)
Pour les fumiers, très mauvaise correlation, il s'agit de coefficient par défaut. Pour des "vieux fumiers", donc un "compost" sans retournement, le coefficient est de 0,227 au lieu de 0,105
</t>
        </r>
      </text>
    </comment>
    <comment ref="E377" authorId="0">
      <text>
        <r>
          <rPr>
            <b/>
            <sz val="9"/>
            <color indexed="81"/>
            <rFont val="Tahoma"/>
            <family val="2"/>
          </rPr>
          <t>Auteur:</t>
        </r>
        <r>
          <rPr>
            <sz val="9"/>
            <color indexed="81"/>
            <rFont val="Tahoma"/>
            <family val="2"/>
          </rPr>
          <t xml:space="preserve">
Détermination d'une perte de matière à partir des produits frais obtenus - estimation sur la base des essais menés avec Texier</t>
        </r>
      </text>
    </comment>
    <comment ref="E379" authorId="0">
      <text>
        <r>
          <rPr>
            <b/>
            <sz val="9"/>
            <color indexed="81"/>
            <rFont val="Tahoma"/>
            <family val="2"/>
          </rPr>
          <t>Auteur:</t>
        </r>
        <r>
          <rPr>
            <sz val="9"/>
            <color indexed="81"/>
            <rFont val="Tahoma"/>
            <family val="2"/>
          </rPr>
          <t xml:space="preserve">
Idem compost paille
</t>
        </r>
      </text>
    </comment>
  </commentList>
</comments>
</file>

<file path=xl/comments9.xml><?xml version="1.0" encoding="utf-8"?>
<comments xmlns="http://schemas.openxmlformats.org/spreadsheetml/2006/main">
  <authors>
    <author>Auteur</author>
  </authors>
  <commentList>
    <comment ref="C16" authorId="0">
      <text>
        <r>
          <rPr>
            <b/>
            <sz val="12"/>
            <color indexed="81"/>
            <rFont val="Tahoma"/>
            <family val="2"/>
          </rPr>
          <t>Auteur:</t>
        </r>
        <r>
          <rPr>
            <sz val="12"/>
            <color indexed="81"/>
            <rFont val="Tahoma"/>
            <family val="2"/>
          </rPr>
          <t xml:space="preserve">
Il n'existe pas de normes Corpen d'excrétion pour les truies pour cette catégorie d'effluent. Aucun résultat N, P et K s'affiche dans ces conditions. Faire le calcul uniquement pour les porcelets/porcs charcutiers ou via le BRS</t>
        </r>
      </text>
    </comment>
    <comment ref="C17" authorId="0">
      <text>
        <r>
          <rPr>
            <b/>
            <sz val="12"/>
            <color indexed="81"/>
            <rFont val="Tahoma"/>
            <family val="2"/>
          </rPr>
          <t>Auteur:</t>
        </r>
        <r>
          <rPr>
            <sz val="12"/>
            <color indexed="81"/>
            <rFont val="Tahoma"/>
            <family val="2"/>
          </rPr>
          <t xml:space="preserve">
Il n'existe pas de normes Corpen d'excrétion pour les truies pour cette catégorie d'effluent. Aucun résultat N, P et K s'affiche dans ces conditions. Faire le calcul uniquement pour les porcelets/porcs charcutiers ou via le BRS</t>
        </r>
      </text>
    </comment>
  </commentList>
</comments>
</file>

<file path=xl/sharedStrings.xml><?xml version="1.0" encoding="utf-8"?>
<sst xmlns="http://schemas.openxmlformats.org/spreadsheetml/2006/main" count="3798" uniqueCount="1171">
  <si>
    <t>Catégorie d'animaux</t>
  </si>
  <si>
    <t>VL</t>
  </si>
  <si>
    <t>Vache Laitière</t>
  </si>
  <si>
    <t>Vache allaitante avec son veau</t>
  </si>
  <si>
    <t>Nombre</t>
  </si>
  <si>
    <t>Mode de logement</t>
  </si>
  <si>
    <t>kg/animal/jour</t>
  </si>
  <si>
    <t>Etable entravée, lisier</t>
  </si>
  <si>
    <t>Litière accumulée, couloir lisier</t>
  </si>
  <si>
    <t>Logette, lisier</t>
  </si>
  <si>
    <t>Logette, mixte lisier/fumier</t>
  </si>
  <si>
    <t>Etable entravée, fumier</t>
  </si>
  <si>
    <t>Pente paillée</t>
  </si>
  <si>
    <t>Logette, fumier</t>
  </si>
  <si>
    <t>Catégorie d'animaux = Catégorie_animaux</t>
  </si>
  <si>
    <t>PL</t>
  </si>
  <si>
    <t>PV</t>
  </si>
  <si>
    <t>kg</t>
  </si>
  <si>
    <t>kg lait/VL/an</t>
  </si>
  <si>
    <t>g/l</t>
  </si>
  <si>
    <t>K2O = 1,20 * K</t>
  </si>
  <si>
    <t>P2O5 = 2,29 * P</t>
  </si>
  <si>
    <t>Divers</t>
  </si>
  <si>
    <t>VA avec son veau</t>
  </si>
  <si>
    <t>Période vêlage</t>
  </si>
  <si>
    <t>Ration</t>
  </si>
  <si>
    <t>Concentré azoté</t>
  </si>
  <si>
    <t>Concentré énergétique</t>
  </si>
  <si>
    <t>rel° âge PV moyens=&gt; vérifs</t>
  </si>
  <si>
    <t>Janvier</t>
  </si>
  <si>
    <t>Février</t>
  </si>
  <si>
    <t>Mars</t>
  </si>
  <si>
    <t>Avril</t>
  </si>
  <si>
    <t>Mai</t>
  </si>
  <si>
    <t>Juin</t>
  </si>
  <si>
    <t>Juillet</t>
  </si>
  <si>
    <t>Août</t>
  </si>
  <si>
    <t>Septembre</t>
  </si>
  <si>
    <t>Octobre</t>
  </si>
  <si>
    <t>Novembre</t>
  </si>
  <si>
    <t>Décembre</t>
  </si>
  <si>
    <t>nb moyen d'heure/jour au bâtiment</t>
  </si>
  <si>
    <t>Cet onglet ne sert qu'à effectuer les calculs intermédiaires, il devra être masquer à terme.</t>
  </si>
  <si>
    <t>Mois</t>
  </si>
  <si>
    <t>nb jours/mois au bâtiment</t>
  </si>
  <si>
    <t>Principal fourrage de la ration</t>
  </si>
  <si>
    <t>TP moyen</t>
  </si>
  <si>
    <t>TB moyen</t>
  </si>
  <si>
    <t>Ration moyenne (kg MS/VL/j)</t>
  </si>
  <si>
    <t xml:space="preserve">- </t>
  </si>
  <si>
    <t>-</t>
  </si>
  <si>
    <t>Génisse (6 mois-1 an)</t>
  </si>
  <si>
    <t>Génisse (1 - 2 ans)</t>
  </si>
  <si>
    <t>Génisse (&gt; 2 ans)</t>
  </si>
  <si>
    <t>Bovin à l'engrais (0 - 1 an)</t>
  </si>
  <si>
    <t>Bovin à l'engrais (1 - 2 ans)</t>
  </si>
  <si>
    <t>Bovin à l'engrais (&gt; 2 ans)</t>
  </si>
  <si>
    <t>Coefficient UGB</t>
  </si>
  <si>
    <t>N</t>
  </si>
  <si>
    <t>P</t>
  </si>
  <si>
    <t>K</t>
  </si>
  <si>
    <t>UEB</t>
  </si>
  <si>
    <t>UFV</t>
  </si>
  <si>
    <t>UFL</t>
  </si>
  <si>
    <t>PDIE</t>
  </si>
  <si>
    <t>PDIN</t>
  </si>
  <si>
    <t>g/kg MS</t>
  </si>
  <si>
    <t>Herbe pâturée</t>
  </si>
  <si>
    <t>Foin</t>
  </si>
  <si>
    <t>Ensilage d'herbe</t>
  </si>
  <si>
    <t>Ensilage maïs</t>
  </si>
  <si>
    <t>&lt;4500</t>
  </si>
  <si>
    <t>4500&lt;PL&lt;6000</t>
  </si>
  <si>
    <t>6000&lt;PL&lt;8000</t>
  </si>
  <si>
    <t>&gt;8000</t>
  </si>
  <si>
    <t>Niveau de production (kg lait/an/VL)</t>
  </si>
  <si>
    <t>ro lait</t>
  </si>
  <si>
    <t>g N/ kg de VV</t>
  </si>
  <si>
    <t>g P2O5/kg VV</t>
  </si>
  <si>
    <t>g K2O/kg VV</t>
  </si>
  <si>
    <t>Herbe conservée (ensilage d'herbe ou foin)</t>
  </si>
  <si>
    <t>Concentré énergétique (orge)</t>
  </si>
  <si>
    <t>Concentré azoté (t soja)</t>
  </si>
  <si>
    <t>Fumier</t>
  </si>
  <si>
    <t>Lisier</t>
  </si>
  <si>
    <t>Type Fumier</t>
  </si>
  <si>
    <t>FTC</t>
  </si>
  <si>
    <t>FM</t>
  </si>
  <si>
    <t>FC EE</t>
  </si>
  <si>
    <t>FC</t>
  </si>
  <si>
    <t>Jus (%)</t>
  </si>
  <si>
    <t>Purin</t>
  </si>
  <si>
    <t>%vol fumier</t>
  </si>
  <si>
    <t>FTM</t>
  </si>
  <si>
    <t>FMC</t>
  </si>
  <si>
    <t>FC autres</t>
  </si>
  <si>
    <t>Concentré azoté (T soja)</t>
  </si>
  <si>
    <t>Concentré énergétique (Orge)</t>
  </si>
  <si>
    <t>Période de vêlage</t>
  </si>
  <si>
    <t>650 -700</t>
  </si>
  <si>
    <t>Automne</t>
  </si>
  <si>
    <t>"Traditionnel" de fin d'hiver</t>
  </si>
  <si>
    <t>550 - 600</t>
  </si>
  <si>
    <t>PV (kg)</t>
  </si>
  <si>
    <t>coeff déject°</t>
  </si>
  <si>
    <t>Ensilage d'herbe majoritaire</t>
  </si>
  <si>
    <t>Intermédiaire (foin+ens. Maïs ou balles enrubannées)</t>
  </si>
  <si>
    <t>Foin majoritaire</t>
  </si>
  <si>
    <t>attention, les 2 coeff doivent s'ajouter avant multiplication soit 12 possibiltés,,,</t>
  </si>
  <si>
    <t>Coeff équat° Corpen</t>
  </si>
  <si>
    <t>N(a)</t>
  </si>
  <si>
    <t>N(B)</t>
  </si>
  <si>
    <t>y=ax+b</t>
  </si>
  <si>
    <t>P(a)</t>
  </si>
  <si>
    <t>P(b)</t>
  </si>
  <si>
    <t>1,4 kg/mois</t>
  </si>
  <si>
    <t>K(a)</t>
  </si>
  <si>
    <t>K(b)</t>
  </si>
  <si>
    <t>MS</t>
  </si>
  <si>
    <t>MS(a)</t>
  </si>
  <si>
    <t>MS(b)</t>
  </si>
  <si>
    <t>Coeff âge des génisses</t>
  </si>
  <si>
    <t>6 mois -1 an</t>
  </si>
  <si>
    <t>1 -2 an</t>
  </si>
  <si>
    <t>&gt; 2 an</t>
  </si>
  <si>
    <t>attention en g/mois</t>
  </si>
  <si>
    <t>attention en kg/mois</t>
  </si>
  <si>
    <t>Densité</t>
  </si>
  <si>
    <t>Fumier (t/UGB/an)</t>
  </si>
  <si>
    <t>Lisier (m3/an)</t>
  </si>
  <si>
    <t>pv déf + tard</t>
  </si>
  <si>
    <t>Composition de la paille</t>
  </si>
  <si>
    <t>janvier</t>
  </si>
  <si>
    <t>février</t>
  </si>
  <si>
    <t xml:space="preserve">mars </t>
  </si>
  <si>
    <t>avril</t>
  </si>
  <si>
    <t>mai</t>
  </si>
  <si>
    <t>juin</t>
  </si>
  <si>
    <t>juillet</t>
  </si>
  <si>
    <t>août</t>
  </si>
  <si>
    <t>septembre</t>
  </si>
  <si>
    <t>octobre</t>
  </si>
  <si>
    <t>novembre</t>
  </si>
  <si>
    <t>décembre</t>
  </si>
  <si>
    <t>Nex</t>
  </si>
  <si>
    <t>P ingéré</t>
  </si>
  <si>
    <t>Pex</t>
  </si>
  <si>
    <t>N ingéré</t>
  </si>
  <si>
    <t>K ingéré</t>
  </si>
  <si>
    <t>UFL ingéré/jour</t>
  </si>
  <si>
    <t>Kex</t>
  </si>
  <si>
    <t>MS ingérée</t>
  </si>
  <si>
    <t>Qté fumier</t>
  </si>
  <si>
    <t>Période vêlage = Periode_velage</t>
  </si>
  <si>
    <t>unité</t>
  </si>
  <si>
    <t>formule</t>
  </si>
  <si>
    <t>N fixé lait</t>
  </si>
  <si>
    <t>N fixé viande</t>
  </si>
  <si>
    <t>qté MS*composit° N/1000</t>
  </si>
  <si>
    <t>Kg N/VL/j</t>
  </si>
  <si>
    <t>24*poids d'un veau/1000/365,25</t>
  </si>
  <si>
    <t>Ningéré-Nfixé</t>
  </si>
  <si>
    <t>Vérificat°</t>
  </si>
  <si>
    <t>Nexcrété/an</t>
  </si>
  <si>
    <t>Kg N/VL/an</t>
  </si>
  <si>
    <t>PL*TP/(1,033*k*1000)/365,25</t>
  </si>
  <si>
    <t>Nexcrété</t>
  </si>
  <si>
    <t>Kg P/VL/j</t>
  </si>
  <si>
    <t>qté MS*composit° P/1000</t>
  </si>
  <si>
    <t>P2O5 fixé lait</t>
  </si>
  <si>
    <t>P2O5 fixé viande</t>
  </si>
  <si>
    <t>P excrété</t>
  </si>
  <si>
    <t>PL*0,95*2,29/1,033/1000/365,25/2,29</t>
  </si>
  <si>
    <t>6,99*2,29*poids veau/1000/365,25/2,29</t>
  </si>
  <si>
    <t>Pingéré-Pfixé</t>
  </si>
  <si>
    <t>Vérification</t>
  </si>
  <si>
    <t>P excrété/an</t>
  </si>
  <si>
    <t>Kg P/VL/an</t>
  </si>
  <si>
    <t>à vérifier</t>
  </si>
  <si>
    <t>qté MS*composit° K/1000</t>
  </si>
  <si>
    <t>Kg K/VL/j</t>
  </si>
  <si>
    <t>K fixé lait</t>
  </si>
  <si>
    <t>K fixé viande</t>
  </si>
  <si>
    <t>PL*1,55*1,2/1,033/1000/365,25/1,2</t>
  </si>
  <si>
    <t>4,1*50*1,2/1000/365,25/1,2</t>
  </si>
  <si>
    <t>K excrété</t>
  </si>
  <si>
    <t>Kingéré-Kfixé</t>
  </si>
  <si>
    <t>Kexcrété/an</t>
  </si>
  <si>
    <t>Kg K/VL/an</t>
  </si>
  <si>
    <t>UFL/VL/j</t>
  </si>
  <si>
    <t>définir une limite basse et haute de delta UFL entre les besoins et l'ingéré</t>
  </si>
  <si>
    <t>qtéMS*composit° UFL</t>
  </si>
  <si>
    <t>Besoins entretien</t>
  </si>
  <si>
    <t>Besoins de production</t>
  </si>
  <si>
    <t>guide alim. P.25</t>
  </si>
  <si>
    <t>TB</t>
  </si>
  <si>
    <t>TP</t>
  </si>
  <si>
    <t>g/kg</t>
  </si>
  <si>
    <t>tb/1,033</t>
  </si>
  <si>
    <t>tp/1,033</t>
  </si>
  <si>
    <t>Delta ingest°-besoins</t>
  </si>
  <si>
    <t>Kg N/VL/mois</t>
  </si>
  <si>
    <t>Kg P/VL/mois</t>
  </si>
  <si>
    <t>Kg K/VL/mois</t>
  </si>
  <si>
    <t>Temps de présence en bâtiment</t>
  </si>
  <si>
    <t>%</t>
  </si>
  <si>
    <t>nb heure bât/24</t>
  </si>
  <si>
    <t>N ex bâtiment</t>
  </si>
  <si>
    <t>K ex bâtiment</t>
  </si>
  <si>
    <t>P ex bâtiment</t>
  </si>
  <si>
    <t>Quantité Lisier</t>
  </si>
  <si>
    <t>Quantité Fumier</t>
  </si>
  <si>
    <t>Quantité Jus</t>
  </si>
  <si>
    <t>Kg N/mois</t>
  </si>
  <si>
    <t>Kg P/mois</t>
  </si>
  <si>
    <t>Kg K/mois</t>
  </si>
  <si>
    <t>Nb VL</t>
  </si>
  <si>
    <t>nb VL</t>
  </si>
  <si>
    <t>m3/an/VL</t>
  </si>
  <si>
    <t>t/an/VL</t>
  </si>
  <si>
    <t>Quantité Lisier brut</t>
  </si>
  <si>
    <t>Quantité Fumier brut</t>
  </si>
  <si>
    <t>Quantité Jus brut</t>
  </si>
  <si>
    <t>Nex mois*tps bât*nb VL</t>
  </si>
  <si>
    <t>Pex mois*tps bât*nb VL</t>
  </si>
  <si>
    <t>Kex mois*tps bât*nb VL</t>
  </si>
  <si>
    <t>nb UGB*ref*%ion Fumier/ro</t>
  </si>
  <si>
    <t>réf*%ion lisier</t>
  </si>
  <si>
    <t>vol fumier*%ion purin</t>
  </si>
  <si>
    <t>m3/mois</t>
  </si>
  <si>
    <t>Qté brut*coeff p°</t>
  </si>
  <si>
    <t>vol fumier ajusté p°*%ion purin</t>
  </si>
  <si>
    <t>Qté *tps bât*nb VL</t>
  </si>
  <si>
    <t>kg N/m3</t>
  </si>
  <si>
    <t>kg P/m3</t>
  </si>
  <si>
    <t>kg K/m3</t>
  </si>
  <si>
    <t>Composition du fumier</t>
  </si>
  <si>
    <t>Quantité Fumier bis</t>
  </si>
  <si>
    <t>Qté (t)*tps bât*nb VL</t>
  </si>
  <si>
    <t>t/mois</t>
  </si>
  <si>
    <t>Nex bâtiment*%ion lisier</t>
  </si>
  <si>
    <t>N lisier</t>
  </si>
  <si>
    <t>Coeff lisier</t>
  </si>
  <si>
    <t>Coeff Fumier</t>
  </si>
  <si>
    <t>Coeff purin</t>
  </si>
  <si>
    <t>Quantité lisier+jus</t>
  </si>
  <si>
    <t>kg N/mois</t>
  </si>
  <si>
    <t>P lisier</t>
  </si>
  <si>
    <t>Pex bâtiment*%ion lisier</t>
  </si>
  <si>
    <t>kg P/mois</t>
  </si>
  <si>
    <t>K lisier</t>
  </si>
  <si>
    <t>Kex bât*%ion lisier</t>
  </si>
  <si>
    <t>kg K/mois</t>
  </si>
  <si>
    <t>N fumier</t>
  </si>
  <si>
    <t>P fumier</t>
  </si>
  <si>
    <t>K fumier</t>
  </si>
  <si>
    <t>N jus</t>
  </si>
  <si>
    <t>P jus</t>
  </si>
  <si>
    <t>K jus</t>
  </si>
  <si>
    <t>Composition du liquide</t>
  </si>
  <si>
    <t>lisier+jus</t>
  </si>
  <si>
    <t>(N lisier+Njus)/Qté lisier+jus</t>
  </si>
  <si>
    <t>Qté de paille mensuelle</t>
  </si>
  <si>
    <t>kg paille brut/mois</t>
  </si>
  <si>
    <t>kg paille brut/VL/j</t>
  </si>
  <si>
    <t>Qté de paille</t>
  </si>
  <si>
    <t>qté brut j*nb vl*tps bat*nb j</t>
  </si>
  <si>
    <t>N paille</t>
  </si>
  <si>
    <t>P paille</t>
  </si>
  <si>
    <t>K paille</t>
  </si>
  <si>
    <t>qté mensuelle*%MS*composit°N/1000</t>
  </si>
  <si>
    <t>kg K mois</t>
  </si>
  <si>
    <t>Donc on pensera à masquer l'onglet, puis à protéger la feuille et le classeur.</t>
  </si>
  <si>
    <t>montrer composit° avec et sans eaux blnaches evrtes et pluis=&gt; économie!!</t>
  </si>
  <si>
    <t>N fumier/Qté fumier (t)</t>
  </si>
  <si>
    <t>kg N/t</t>
  </si>
  <si>
    <t>kg P/t</t>
  </si>
  <si>
    <t>kg K/t</t>
  </si>
  <si>
    <t>Fourrage_VA</t>
  </si>
  <si>
    <t>kg MS/VA/mois</t>
  </si>
  <si>
    <t>Principal fourrage</t>
  </si>
  <si>
    <t>kg N/VA/mois</t>
  </si>
  <si>
    <t>kg P/VA/mois</t>
  </si>
  <si>
    <t>kg K/VA/mois</t>
  </si>
  <si>
    <t>kg Nex/VA/an</t>
  </si>
  <si>
    <t>kg Pex/VA/an</t>
  </si>
  <si>
    <t>kg Kex/VA/an</t>
  </si>
  <si>
    <t>kg MS ingérée/VA/j</t>
  </si>
  <si>
    <t>nb j/(365,25/12)</t>
  </si>
  <si>
    <t>nb VA</t>
  </si>
  <si>
    <t>UFV ingérés/VA</t>
  </si>
  <si>
    <t>Vérifications</t>
  </si>
  <si>
    <t>m3/an/VA</t>
  </si>
  <si>
    <t>Nb VA</t>
  </si>
  <si>
    <t>ro fumier</t>
  </si>
  <si>
    <t>Mis uniquement le foin car intermédiare difficile à définir</t>
  </si>
  <si>
    <t>Coeff p°</t>
  </si>
  <si>
    <t>Coeff p° vêlage</t>
  </si>
  <si>
    <t>Coeff p° alim°</t>
  </si>
  <si>
    <t>coeff vêlage+ alim</t>
  </si>
  <si>
    <t>m3/mois/VL</t>
  </si>
  <si>
    <t>m3/mois/VA</t>
  </si>
  <si>
    <t>Qté brut*coeff p°/12</t>
  </si>
  <si>
    <t>t/an</t>
  </si>
  <si>
    <t>t/mois/VA</t>
  </si>
  <si>
    <t>doit être compris entre 6 et 10 UFL (varaition selon P1,P2,P3)=&gt; Troupeau allaitant mode d'emploi</t>
  </si>
  <si>
    <t>Nex bâtiment*%ion fumier</t>
  </si>
  <si>
    <t>Pex bâtiment*%ion fumier</t>
  </si>
  <si>
    <t>Kex bât*%ion fumier</t>
  </si>
  <si>
    <t>Qté (t)*tps bât*nb VA</t>
  </si>
  <si>
    <t>Qté *tps bât*nb VA</t>
  </si>
  <si>
    <t>Fourrage_G</t>
  </si>
  <si>
    <t>kg MS/G/mois</t>
  </si>
  <si>
    <t>kg N/G/mois</t>
  </si>
  <si>
    <t>kg P/G/mois</t>
  </si>
  <si>
    <t>kg K/G/mois</t>
  </si>
  <si>
    <t>kg Nex/G/an</t>
  </si>
  <si>
    <t>kg Pex/G/an</t>
  </si>
  <si>
    <t>kg Kex/G/an</t>
  </si>
  <si>
    <t>kg MS ingérée/G/j</t>
  </si>
  <si>
    <t>UFV ingérés/G</t>
  </si>
  <si>
    <t>Nb G</t>
  </si>
  <si>
    <t>nb G</t>
  </si>
  <si>
    <t>Nex mois*tps bât*nb VA</t>
  </si>
  <si>
    <t>Pex mois*tps bât*nb VA</t>
  </si>
  <si>
    <t>Kex mois*tps bât*nb VA</t>
  </si>
  <si>
    <t>kg paille brut/VA/j</t>
  </si>
  <si>
    <t>qté brut j*nb va*tps bat*nb j</t>
  </si>
  <si>
    <t>équ° CORPEN G</t>
  </si>
  <si>
    <t>equ° CORPEN G/1000</t>
  </si>
  <si>
    <t>la formule traduit le système de gestion (remplumage pdt le pâturage et perte d'état pendant l'hiver) =&gt; est-ce tjrs adapté?</t>
  </si>
  <si>
    <t>valeurs entre 3 et 8 cf/Troupeau mode d'emploi</t>
  </si>
  <si>
    <t>Nex mois*tps bât*nb G</t>
  </si>
  <si>
    <t>Pex mois*tps bât*nb G</t>
  </si>
  <si>
    <t>Kex mois*tps bât*nb G</t>
  </si>
  <si>
    <t>kg paille brut/G/j</t>
  </si>
  <si>
    <t>qté brut j*nb g*tps bat*nb j</t>
  </si>
  <si>
    <t>m3/an/G</t>
  </si>
  <si>
    <t>Coeff âge</t>
  </si>
  <si>
    <t>coeff âge</t>
  </si>
  <si>
    <t>Qté brut*coeff âge/12</t>
  </si>
  <si>
    <t>m3/mois/G</t>
  </si>
  <si>
    <t>t/mois/G</t>
  </si>
  <si>
    <t>Qté *tps bât*nb G</t>
  </si>
  <si>
    <t>Qté (t)*tps bât*nb G</t>
  </si>
  <si>
    <t>Fourrage_E</t>
  </si>
  <si>
    <t>Nb E 0-1 an</t>
  </si>
  <si>
    <t>nb E</t>
  </si>
  <si>
    <t>Nb E 1-2 ans</t>
  </si>
  <si>
    <t>coeff PV</t>
  </si>
  <si>
    <t>PV_E</t>
  </si>
  <si>
    <t>nom des listes en bleu foncé</t>
  </si>
  <si>
    <t>Nb E &gt; 2 ans</t>
  </si>
  <si>
    <t>Coeff PV</t>
  </si>
  <si>
    <t>Pour tous les bovins à l'engrais, 1/on calcul la qté fumier en utilisant coeff UGB; 2/ on affecte un coeff selon leurs poids. Est ce juste?</t>
  </si>
  <si>
    <t>Qté brut*coeff PV/12</t>
  </si>
  <si>
    <t>qté jus brut*coeff p°/12</t>
  </si>
  <si>
    <t>qté jus brut* coeff âge/12</t>
  </si>
  <si>
    <t>on dirait que c'est très pb quand les volumes en jeux sont faibles…</t>
  </si>
  <si>
    <t>qté brut jus*coeff âge/12</t>
  </si>
  <si>
    <t>Qté brut jus* coeff âge/12</t>
  </si>
  <si>
    <r>
      <t xml:space="preserve">vol fumier ajusté âge*%ion purin/12 </t>
    </r>
    <r>
      <rPr>
        <b/>
        <sz val="11"/>
        <color theme="1"/>
        <rFont val="Calibri"/>
        <family val="2"/>
        <scheme val="minor"/>
      </rPr>
      <t>changement pour :</t>
    </r>
    <r>
      <rPr>
        <sz val="11"/>
        <color theme="1"/>
        <rFont val="Calibri"/>
        <family val="2"/>
        <scheme val="minor"/>
      </rPr>
      <t>qté jus brut*coeff âge/12</t>
    </r>
  </si>
  <si>
    <t>Qté jus brut*coeff PV/12</t>
  </si>
  <si>
    <t>Qté jus*coeff PV/12</t>
  </si>
  <si>
    <t>résulats moyens..</t>
  </si>
  <si>
    <t>on dirait que plus les naimaux sont grands, plus c'est cohérent en terme de composition.</t>
  </si>
  <si>
    <t>Fosse_couverture</t>
  </si>
  <si>
    <t>Eau de dilution</t>
  </si>
  <si>
    <t>Surface des aires de vies découvertes (en m2)</t>
  </si>
  <si>
    <t>Surface de la fosse de stockage (en m2)</t>
  </si>
  <si>
    <t>Surface de la fumière (en m2)</t>
  </si>
  <si>
    <t>Eaux vertes et blanches</t>
  </si>
  <si>
    <t>Volumes d'eaux vertes et blanches produits (en m3/an)</t>
  </si>
  <si>
    <t>Volume eau de dilution</t>
  </si>
  <si>
    <t>m3/an</t>
  </si>
  <si>
    <t>Volume total de dilution</t>
  </si>
  <si>
    <t>Vol eau dil° + Vol eaux V&amp;B</t>
  </si>
  <si>
    <t>il faudrait: 1/prendre en compte composition en NPK, 2/avoir une variabilité sur l'année</t>
  </si>
  <si>
    <t>Volume total produit/an</t>
  </si>
  <si>
    <t>LIQUIDES</t>
  </si>
  <si>
    <t>Fumiers</t>
  </si>
  <si>
    <t>Liquides (lisier+jus)</t>
  </si>
  <si>
    <t>je peux me permettre de diviser cela par 12 car la majorité (eaux vertes et blanches) sont produits en qté cstes tte l'année…..dans le cas vêlage étalés</t>
  </si>
  <si>
    <t>Volume "eaux diverses"</t>
  </si>
  <si>
    <t>NPK total</t>
  </si>
  <si>
    <t>N liquides</t>
  </si>
  <si>
    <t>P liquides</t>
  </si>
  <si>
    <t>K liquides</t>
  </si>
  <si>
    <t>kg/mois</t>
  </si>
  <si>
    <t>Composit° avant pertes</t>
  </si>
  <si>
    <t xml:space="preserve">K </t>
  </si>
  <si>
    <t>liquides</t>
  </si>
  <si>
    <t>fumier</t>
  </si>
  <si>
    <t>kg/m3</t>
  </si>
  <si>
    <t>kg/t</t>
  </si>
  <si>
    <t>compo fumier allaitant pb…et même un lait</t>
  </si>
  <si>
    <t>moyenne sur l'année</t>
  </si>
  <si>
    <t>somme sur l'année</t>
  </si>
  <si>
    <t>FE IE</t>
  </si>
  <si>
    <t>pâturage</t>
  </si>
  <si>
    <t>CH4</t>
  </si>
  <si>
    <t>N2O</t>
  </si>
  <si>
    <t>NH3</t>
  </si>
  <si>
    <t>Bâtiment</t>
  </si>
  <si>
    <t>CH4 aire raclé</t>
  </si>
  <si>
    <t xml:space="preserve">N-NH3 </t>
  </si>
  <si>
    <t>N20 aire raclé</t>
  </si>
  <si>
    <t>Stockage</t>
  </si>
  <si>
    <t>CH4 fumier</t>
  </si>
  <si>
    <t>CH4 lisier</t>
  </si>
  <si>
    <t>N2O lisier</t>
  </si>
  <si>
    <t>N20 fumier</t>
  </si>
  <si>
    <t>Epandage organique</t>
  </si>
  <si>
    <t>N20</t>
  </si>
  <si>
    <t>NH3 lisier</t>
  </si>
  <si>
    <t>CH4 entérique</t>
  </si>
  <si>
    <t>Génisses 0-1 ans</t>
  </si>
  <si>
    <t>Génisses 1-2 ans</t>
  </si>
  <si>
    <t>Génisses 2-3 ans</t>
  </si>
  <si>
    <t>kg N-NH3/kg N org émis au bâtiment</t>
  </si>
  <si>
    <t>kg N-NH3/kg N au stockage</t>
  </si>
  <si>
    <t>Calcul des pertes gazeuses en N-NH3</t>
  </si>
  <si>
    <t>kg N-NH3/mois</t>
  </si>
  <si>
    <t>N lisier*0,12</t>
  </si>
  <si>
    <t>N lisier (excrét° + paille)</t>
  </si>
  <si>
    <t>N fumier (exccrét°+paille)</t>
  </si>
  <si>
    <t>N fumier*0,12</t>
  </si>
  <si>
    <t>N liquide sortie bâtiment</t>
  </si>
  <si>
    <t>N fumier sortie bâtiment</t>
  </si>
  <si>
    <t>Pertes au bâtiment (lisier)</t>
  </si>
  <si>
    <t>Pertes au bâtiment (fumier)</t>
  </si>
  <si>
    <t>Pertes au stockage (liquides)</t>
  </si>
  <si>
    <t>Pertes au stockage (fumiers)</t>
  </si>
  <si>
    <t>somme</t>
  </si>
  <si>
    <t>N liquides - pertes au bâtiment (lisier)</t>
  </si>
  <si>
    <t>N fumier - pertes au bâtiment (fumier)</t>
  </si>
  <si>
    <t>(N liq sortie bât - Pertes stockage)/volume liquide</t>
  </si>
  <si>
    <t>(N fumier sortie bât-pertes stockage)/qté fumier</t>
  </si>
  <si>
    <t>à prendre en compte</t>
  </si>
  <si>
    <t>Pertes au stockage après abattement (liquides)</t>
  </si>
  <si>
    <t>abattement</t>
  </si>
  <si>
    <t>Litière accumulée, couloir fumier</t>
  </si>
  <si>
    <t>Litière accumulée intégrale</t>
  </si>
  <si>
    <t>Mode de logement (version simplifiée) = Modes_logts</t>
  </si>
  <si>
    <t>Moyennes</t>
  </si>
  <si>
    <t>les fumiers posent pb dans les calculs pour les périodes de pâturage</t>
  </si>
  <si>
    <t>Bovins</t>
  </si>
  <si>
    <t>Porcs</t>
  </si>
  <si>
    <t>Volailles</t>
  </si>
  <si>
    <t>Ouvrage de stockage</t>
  </si>
  <si>
    <t>Fosse stockage 1</t>
  </si>
  <si>
    <t>Fosse stockage 2</t>
  </si>
  <si>
    <t>Catégories de porc = Catégorie_porc</t>
  </si>
  <si>
    <t>Effectif</t>
  </si>
  <si>
    <t>PV moyen</t>
  </si>
  <si>
    <t>début</t>
  </si>
  <si>
    <t>fin</t>
  </si>
  <si>
    <t>début, kg</t>
  </si>
  <si>
    <t>fin, kg</t>
  </si>
  <si>
    <t>Truies présentes</t>
  </si>
  <si>
    <t>Verrats</t>
  </si>
  <si>
    <t>Porcelets en post sevrage</t>
  </si>
  <si>
    <t>Porcs en croissance/finition</t>
  </si>
  <si>
    <t>Poids vif</t>
  </si>
  <si>
    <t>T.V.M.*</t>
  </si>
  <si>
    <t>Poids</t>
  </si>
  <si>
    <t>moyen, kg</t>
  </si>
  <si>
    <t>total, kg</t>
  </si>
  <si>
    <t>Porcelets sevrés</t>
  </si>
  <si>
    <t>Porcelets "de 25-30 kg"</t>
  </si>
  <si>
    <t>Jeunes Reproducteurs**</t>
  </si>
  <si>
    <t>Porcs charcutiers</t>
  </si>
  <si>
    <t>Truies de réforme</t>
  </si>
  <si>
    <t>Équarissage</t>
  </si>
  <si>
    <t>Cochettes et verrats</t>
  </si>
  <si>
    <t>* Teneur en viande maigre. Dans le cas d'une vente en vif donner la teneur prévisible vers 110 kg</t>
  </si>
  <si>
    <t>**Dans le cas d'élevages de sélection ou de multiplication</t>
  </si>
  <si>
    <t>Quantité</t>
  </si>
  <si>
    <t>Protéines</t>
  </si>
  <si>
    <t>Phosphore</t>
  </si>
  <si>
    <t>Potassium</t>
  </si>
  <si>
    <t>Cuivre</t>
  </si>
  <si>
    <t>Zinc</t>
  </si>
  <si>
    <t>ppm</t>
  </si>
  <si>
    <t>Type d'aliment</t>
  </si>
  <si>
    <t>Masse et volume des effluents</t>
  </si>
  <si>
    <t>Coefficients</t>
  </si>
  <si>
    <t>PC</t>
  </si>
  <si>
    <t>Truie</t>
  </si>
  <si>
    <t>Porcelet</t>
  </si>
  <si>
    <t>physiologiques</t>
  </si>
  <si>
    <t xml:space="preserve">Stades </t>
  </si>
  <si>
    <t>Ouvrage</t>
  </si>
  <si>
    <t>stockage</t>
  </si>
  <si>
    <t>Type d'alimentation et d'abreuvement</t>
  </si>
  <si>
    <t>Qualité de lavage</t>
  </si>
  <si>
    <t>Intense</t>
  </si>
  <si>
    <t>Normal</t>
  </si>
  <si>
    <t>Econome en eau</t>
  </si>
  <si>
    <t>Alimentation soupe - avec repas d'eau</t>
  </si>
  <si>
    <t>Alimentation sèche - eau rationnée</t>
  </si>
  <si>
    <t>Alimentation sèche - eau à volonté avec récupérateur</t>
  </si>
  <si>
    <t>Alimentation sèche - eau à volonté sans récupérateur (abreuvoir bien réglé)</t>
  </si>
  <si>
    <t>Alimentation sèche - eau à volonté sans récupérateur (abreuvoir non réglé)</t>
  </si>
  <si>
    <t>Ouvrage de destination</t>
  </si>
  <si>
    <t>Intitulé produit</t>
  </si>
  <si>
    <t>MO</t>
  </si>
  <si>
    <t>C</t>
  </si>
  <si>
    <t>NTK</t>
  </si>
  <si>
    <t>N ammo</t>
  </si>
  <si>
    <t>P2O5</t>
  </si>
  <si>
    <t>K2O</t>
  </si>
  <si>
    <t>kg/an</t>
  </si>
  <si>
    <t>% du brut</t>
  </si>
  <si>
    <t>g/kg produit brut</t>
  </si>
  <si>
    <t>Fosse 1</t>
  </si>
  <si>
    <t>Fosse 2</t>
  </si>
  <si>
    <t>Lisier/purin</t>
  </si>
  <si>
    <t>Unités</t>
  </si>
  <si>
    <t>Fumière (fumier paille frais)</t>
  </si>
  <si>
    <t>Fumière (fumier paille composté)</t>
  </si>
  <si>
    <t>Fumière (litière sciure compostée)</t>
  </si>
  <si>
    <t>Fumière</t>
  </si>
  <si>
    <t>Fumier frais paille</t>
  </si>
  <si>
    <t>Compost paille</t>
  </si>
  <si>
    <t>Fumier frais sciure</t>
  </si>
  <si>
    <t>Compost sciure</t>
  </si>
  <si>
    <t>% muscle</t>
  </si>
  <si>
    <t>N Deb</t>
  </si>
  <si>
    <t>N Fin</t>
  </si>
  <si>
    <t>P Deb</t>
  </si>
  <si>
    <t>P Fin</t>
  </si>
  <si>
    <t>K Deb</t>
  </si>
  <si>
    <t>K Fin</t>
  </si>
  <si>
    <t>Cu Deb</t>
  </si>
  <si>
    <t>Cu Fin</t>
  </si>
  <si>
    <t>Zn Deb</t>
  </si>
  <si>
    <t>Zn Fin</t>
  </si>
  <si>
    <t>Pds Deb</t>
  </si>
  <si>
    <t>Pds Fin</t>
  </si>
  <si>
    <t>Truies</t>
  </si>
  <si>
    <t>Post-sevrés</t>
  </si>
  <si>
    <t>Porcs engrais</t>
  </si>
  <si>
    <t>Total</t>
  </si>
  <si>
    <t>Pds Sorti</t>
  </si>
  <si>
    <t>N Sorti</t>
  </si>
  <si>
    <t>P Sorti</t>
  </si>
  <si>
    <t>K Sorti</t>
  </si>
  <si>
    <t>Cu Sorti</t>
  </si>
  <si>
    <t>Zn Sorti</t>
  </si>
  <si>
    <t>Pds Entré</t>
  </si>
  <si>
    <t>N Entré</t>
  </si>
  <si>
    <t>P entré</t>
  </si>
  <si>
    <t>K entré</t>
  </si>
  <si>
    <t>Cu entré</t>
  </si>
  <si>
    <t>Zn entré</t>
  </si>
  <si>
    <t>TVM</t>
  </si>
  <si>
    <t>LISIER</t>
  </si>
  <si>
    <t>TOTAL</t>
  </si>
  <si>
    <t>Azote</t>
  </si>
  <si>
    <t>P, kg</t>
  </si>
  <si>
    <t>K, kg</t>
  </si>
  <si>
    <t>Cu, g</t>
  </si>
  <si>
    <t>Zn, g</t>
  </si>
  <si>
    <t>Bâtiment + stockage</t>
  </si>
  <si>
    <t xml:space="preserve"> et/ou compostage</t>
  </si>
  <si>
    <t>REJETS</t>
  </si>
  <si>
    <t>AZOTE</t>
  </si>
  <si>
    <t>PHOSPHORE</t>
  </si>
  <si>
    <t>POTASSIUM</t>
  </si>
  <si>
    <t>CUIVRE</t>
  </si>
  <si>
    <t>ZINC</t>
  </si>
  <si>
    <t>P2O5,kg</t>
  </si>
  <si>
    <t>K2O,kg</t>
  </si>
  <si>
    <t xml:space="preserve"> Aliment</t>
  </si>
  <si>
    <t xml:space="preserve"> Apport par la litière</t>
  </si>
  <si>
    <t xml:space="preserve"> Variation stock animaux</t>
  </si>
  <si>
    <t xml:space="preserve"> Exporté / sorties porcs &amp; porcelets</t>
  </si>
  <si>
    <t xml:space="preserve"> Excrété</t>
  </si>
  <si>
    <t xml:space="preserve"> Emanations gazeuses</t>
  </si>
  <si>
    <t xml:space="preserve"> -</t>
  </si>
  <si>
    <t xml:space="preserve"> Effluent épandable*</t>
  </si>
  <si>
    <t>BILAN ENTREES/SORTIES</t>
  </si>
  <si>
    <t>Début</t>
  </si>
  <si>
    <t>Fin</t>
  </si>
  <si>
    <t>Achats</t>
  </si>
  <si>
    <t>Ventes</t>
  </si>
  <si>
    <t>Bilan</t>
  </si>
  <si>
    <t>Aliments</t>
  </si>
  <si>
    <t xml:space="preserve">     - kg</t>
  </si>
  <si>
    <t xml:space="preserve">     - Azote, kg</t>
  </si>
  <si>
    <t>(N entré)</t>
  </si>
  <si>
    <t xml:space="preserve">     - Phosphore, kg (P)</t>
  </si>
  <si>
    <t>(P entré)</t>
  </si>
  <si>
    <t xml:space="preserve">     - Potassium, kg (K)</t>
  </si>
  <si>
    <t>(K entré)</t>
  </si>
  <si>
    <t xml:space="preserve">     - Cuivre, kg</t>
  </si>
  <si>
    <t xml:space="preserve">     - Zinc, kg</t>
  </si>
  <si>
    <t>Animaux</t>
  </si>
  <si>
    <t>(N retenu)</t>
  </si>
  <si>
    <t xml:space="preserve">     - Phosphore, kg</t>
  </si>
  <si>
    <t>(P retenu)</t>
  </si>
  <si>
    <t>(K retenu)</t>
  </si>
  <si>
    <t>Litières</t>
  </si>
  <si>
    <t>Paille</t>
  </si>
  <si>
    <t>Bilan Réel simplifié</t>
  </si>
  <si>
    <t>Quantité de litière</t>
  </si>
  <si>
    <t>Cu</t>
  </si>
  <si>
    <t>Zn</t>
  </si>
  <si>
    <t>g/an</t>
  </si>
  <si>
    <t>mg/kg MS</t>
  </si>
  <si>
    <t>Composition de la paille et de la sciure en % du brut</t>
  </si>
  <si>
    <t>Sciure</t>
  </si>
  <si>
    <t>Moyennes et totaux</t>
  </si>
  <si>
    <t>Calcul pour la fosse 1</t>
  </si>
  <si>
    <t>Truies lactation</t>
  </si>
  <si>
    <t>Gestante</t>
  </si>
  <si>
    <t>porcelets 1er âge</t>
  </si>
  <si>
    <t>porcelets 2ème âge</t>
  </si>
  <si>
    <t>PC croissance</t>
  </si>
  <si>
    <t>PC finition</t>
  </si>
  <si>
    <t>Alimentation soupe - sans repas d'eau</t>
  </si>
  <si>
    <t>/animal</t>
  </si>
  <si>
    <t>/stade</t>
  </si>
  <si>
    <t>Hydrolyse urée</t>
  </si>
  <si>
    <t>Teneur dans les fécès</t>
  </si>
  <si>
    <t>Teneur dans les urines</t>
  </si>
  <si>
    <t>Bilan carbone</t>
  </si>
  <si>
    <t>Taux de MO dans l'aliment</t>
  </si>
  <si>
    <t>Digestibilité MO</t>
  </si>
  <si>
    <t>Proportion C/MO</t>
  </si>
  <si>
    <t>Ouvrage de stockage et/ou traitement = Ouvrage_stock et coefficients conditionnels</t>
  </si>
  <si>
    <t>PS</t>
  </si>
  <si>
    <t>Coeff stade indifférent</t>
  </si>
  <si>
    <t>Post-sevrage</t>
  </si>
  <si>
    <t>Truies et verrats</t>
  </si>
  <si>
    <t>Calcul pour la fosse 2</t>
  </si>
  <si>
    <t>Pertes C-CO2 stockage extérieur</t>
  </si>
  <si>
    <t>Pertes C-CH4 stockage extérieur</t>
  </si>
  <si>
    <t xml:space="preserve">Pertes C-CH4 bâtiment issues </t>
  </si>
  <si>
    <t>Pertes C-CO2 bâtiment issues</t>
  </si>
  <si>
    <t>Concentration azote total et ammoniacal</t>
  </si>
  <si>
    <t>Quantité d'éléments dans l'ouvrage de stockage</t>
  </si>
  <si>
    <t>Alimentation standard</t>
  </si>
  <si>
    <t>Alimentation biphase</t>
  </si>
  <si>
    <t>Méthode du BRS</t>
  </si>
  <si>
    <t>Méthode détermination des rejets, simplifiée ou méthode du BRS</t>
  </si>
  <si>
    <t>REJETS FORFAITAIRES</t>
  </si>
  <si>
    <t>Fumier composté paille</t>
  </si>
  <si>
    <t>STANDARD</t>
  </si>
  <si>
    <t>BIPHASE</t>
  </si>
  <si>
    <t>Calcul pour le fumier frais paille</t>
  </si>
  <si>
    <t>F paille frais</t>
  </si>
  <si>
    <t>F paille compost</t>
  </si>
  <si>
    <t>F sciure frais</t>
  </si>
  <si>
    <t>F sciure compost</t>
  </si>
  <si>
    <t>Volume (m3)</t>
  </si>
  <si>
    <t>lisier</t>
  </si>
  <si>
    <t>Reste effluent avec une alimentation standard ou biphase</t>
  </si>
  <si>
    <t>Reste effluent avec un BRS</t>
  </si>
  <si>
    <t>Calcul pour le fumier composté paille</t>
  </si>
  <si>
    <t>Calcul pour la litière fraiche à base de sciure</t>
  </si>
  <si>
    <t>Fumier composté sciure</t>
  </si>
  <si>
    <t>Calcul pour la litière compostée à base de sciure</t>
  </si>
  <si>
    <t>Quantité d'effluent</t>
  </si>
  <si>
    <t>par défaut</t>
  </si>
  <si>
    <t xml:space="preserve">     - t</t>
  </si>
  <si>
    <t>de destination</t>
  </si>
  <si>
    <t>Ville la plus proche :</t>
  </si>
  <si>
    <t>Période d'épandage prévue :</t>
  </si>
  <si>
    <t>En m3/an (lisier) ou t/an (solide)</t>
  </si>
  <si>
    <t>Pluviométrie et  période d'épandage</t>
  </si>
  <si>
    <t>Villes</t>
  </si>
  <si>
    <t>Pluviométrie annuelle</t>
  </si>
  <si>
    <t>Abbeville</t>
  </si>
  <si>
    <t>Agen</t>
  </si>
  <si>
    <t>Bordeaux</t>
  </si>
  <si>
    <t>Bourges</t>
  </si>
  <si>
    <t>Brest</t>
  </si>
  <si>
    <t>Caen</t>
  </si>
  <si>
    <t>Clermont-Ferrand</t>
  </si>
  <si>
    <t>Dijon</t>
  </si>
  <si>
    <t>Grenoble</t>
  </si>
  <si>
    <t>Le Mans</t>
  </si>
  <si>
    <t>Lille</t>
  </si>
  <si>
    <t>Limoges</t>
  </si>
  <si>
    <t>Lyon</t>
  </si>
  <si>
    <t>Montpellier</t>
  </si>
  <si>
    <t>Nancy</t>
  </si>
  <si>
    <t>Nantes</t>
  </si>
  <si>
    <t>Nice</t>
  </si>
  <si>
    <t>Orléans</t>
  </si>
  <si>
    <t>Paris</t>
  </si>
  <si>
    <t>Poitiers</t>
  </si>
  <si>
    <t>Rennes</t>
  </si>
  <si>
    <t>St Brieuc</t>
  </si>
  <si>
    <t>Strasbourg</t>
  </si>
  <si>
    <t>Toulouse</t>
  </si>
  <si>
    <t>Tours</t>
  </si>
  <si>
    <t>Oui</t>
  </si>
  <si>
    <t>Non</t>
  </si>
  <si>
    <t>Période d'épandage</t>
  </si>
  <si>
    <t>Fin été/début automne</t>
  </si>
  <si>
    <t>Moyenne</t>
  </si>
  <si>
    <t>Proportion</t>
  </si>
  <si>
    <t>p/r</t>
  </si>
  <si>
    <t>moyenne</t>
  </si>
  <si>
    <t>(mm/an)</t>
  </si>
  <si>
    <t>Coefficient à affecter</t>
  </si>
  <si>
    <t>hiver</t>
  </si>
  <si>
    <t>été</t>
  </si>
  <si>
    <t>pour les lisiers</t>
  </si>
  <si>
    <t>Hiver/printemps</t>
  </si>
  <si>
    <t>Pluviométrie moyenne (en mm)</t>
  </si>
  <si>
    <t>Volume total produit/an de liquides (en m3)</t>
  </si>
  <si>
    <t>Je connais mes quantités d'effluents sur ma ferme:</t>
  </si>
  <si>
    <t>coeff uniquement pour le foin</t>
  </si>
  <si>
    <t>Volume_connu</t>
  </si>
  <si>
    <t>oui</t>
  </si>
  <si>
    <t>non</t>
  </si>
  <si>
    <t>il ya tjrs un volume de liquide donc pas de pb avec divisio par zéro.</t>
  </si>
  <si>
    <t>Zone géographique (ville la plus proche)</t>
  </si>
  <si>
    <t>Pluviométrie</t>
  </si>
  <si>
    <t>Autres surface non couvertes (en m2)</t>
  </si>
  <si>
    <t>((Sbâtiment ext+Sfosse nc+Sfumière nc+Sautresnc)*pluvio/1000)*FS</t>
  </si>
  <si>
    <t>FS</t>
  </si>
  <si>
    <t>[(pluie mensuelle en mm/3)+40]/100</t>
  </si>
  <si>
    <t>Qté fumier (t/UGB/an)</t>
  </si>
  <si>
    <t>Jus (% vol fumier)</t>
  </si>
  <si>
    <t>si fumière couverte</t>
  </si>
  <si>
    <t>si fumière non couverte</t>
  </si>
  <si>
    <t>N (% de l'N total du fumier qui part dans le purin/jus)</t>
  </si>
  <si>
    <t>t/UGB/an</t>
  </si>
  <si>
    <t>Coeff purin (volume)</t>
  </si>
  <si>
    <t>Coeff purin (N)</t>
  </si>
  <si>
    <t>Coeff purin (P)</t>
  </si>
  <si>
    <t>Coeff purin (K)</t>
  </si>
  <si>
    <t>N fumier*%ion Njus</t>
  </si>
  <si>
    <t>Pfumier*%ion Pjus</t>
  </si>
  <si>
    <t>Kfumier*%ion Kjus</t>
  </si>
  <si>
    <t>N fumier sans les jus</t>
  </si>
  <si>
    <t>P fumier sans les jus</t>
  </si>
  <si>
    <t>K fumier sans les jus</t>
  </si>
  <si>
    <t>Nfumier-Njus</t>
  </si>
  <si>
    <t>Pfumier-Pjus</t>
  </si>
  <si>
    <t>Kfumier-Kjus</t>
  </si>
  <si>
    <t>N fumier sans les jus/Qté fumier (t)</t>
  </si>
  <si>
    <t>pb pour les petits aniamux (ugb faible)==&gt;rejets surestimés, qté fmier par ugb pas ok?</t>
  </si>
  <si>
    <t>pb aussi sur viande spécifiquement: pb coeff ugb?</t>
  </si>
  <si>
    <t>Liquides (lisier, purin, eaux vertes, eaux blanches, eaux brunes)</t>
  </si>
  <si>
    <t>Concentration moyenne des effluents sur l'année</t>
  </si>
  <si>
    <t>kg N</t>
  </si>
  <si>
    <t>kg P</t>
  </si>
  <si>
    <t>kg K</t>
  </si>
  <si>
    <t>+2 à -2 pourrait être une bonne limite (fiche alimentation bongrain)</t>
  </si>
  <si>
    <t>On n tient pas compte de NPK ici car on considère que tous va dans lisier/fumier (JLM)</t>
  </si>
  <si>
    <t>Résultats</t>
  </si>
  <si>
    <t>Quantité cumulées - LIQUIDES</t>
  </si>
  <si>
    <t>Quantité cumulées - FUMIERS</t>
  </si>
  <si>
    <t>m3 cumulés/mois</t>
  </si>
  <si>
    <t>tonnes cumulées/mois</t>
  </si>
  <si>
    <t>Quantités cumulées - N liquides</t>
  </si>
  <si>
    <t>Quantités cumulées - P liquides</t>
  </si>
  <si>
    <t>Quantités cumulées - K liquide</t>
  </si>
  <si>
    <t>Quantités cumulées - N fumiers</t>
  </si>
  <si>
    <t>Quantités cumulées - P fumiers</t>
  </si>
  <si>
    <t>Quantités cumulées - K fumiers</t>
  </si>
  <si>
    <t>NPK total final</t>
  </si>
  <si>
    <t>Somme</t>
  </si>
  <si>
    <t>Composition mensuelle</t>
  </si>
  <si>
    <t>N cumulé/volume cumulé</t>
  </si>
  <si>
    <t>Masse totale produite/an de fumier (en tonnes)</t>
  </si>
  <si>
    <t>Tonnage FUMIERS connu</t>
  </si>
  <si>
    <t>Volume Liquides connu</t>
  </si>
  <si>
    <t>Composition avant épandage CALCULEES MENSUELLEMENT</t>
  </si>
  <si>
    <t>l/VL/jour</t>
  </si>
  <si>
    <t>Nb de jour de traite/an/VL</t>
  </si>
  <si>
    <t>j/an</t>
  </si>
  <si>
    <t>Eaux vertes produites (lavage salle de traite)</t>
  </si>
  <si>
    <t>Eaux blanches produites (lavage machine à traire)</t>
  </si>
  <si>
    <t>MS fumier global annuel</t>
  </si>
  <si>
    <t>%MS</t>
  </si>
  <si>
    <t>MS fumier</t>
  </si>
  <si>
    <t>%MB</t>
  </si>
  <si>
    <t>somme(MS*tonnage)/somme tonnages</t>
  </si>
  <si>
    <t>MO fumier global</t>
  </si>
  <si>
    <t>FUMIER</t>
  </si>
  <si>
    <t>MS lisier global</t>
  </si>
  <si>
    <t>MO lisier global</t>
  </si>
  <si>
    <t>6,160*P2O5 (g/kg) -0,226</t>
  </si>
  <si>
    <t>4,359*P2O5 (g/kg) -0,169</t>
  </si>
  <si>
    <t>0,581*%MS+3,397</t>
  </si>
  <si>
    <t>interdire de supprimer le mode de logement en fauille de saisie commune (sinon #N/A partout…)</t>
  </si>
  <si>
    <t>Catégories Volailles</t>
  </si>
  <si>
    <t>Poulet de chair</t>
  </si>
  <si>
    <t>Dinde de chair</t>
  </si>
  <si>
    <t>Canard à rôtir</t>
  </si>
  <si>
    <t>Pintade de chair</t>
  </si>
  <si>
    <t>Poules Pondeuses</t>
  </si>
  <si>
    <t>Espèce de Volailles</t>
  </si>
  <si>
    <t>Mode de production</t>
  </si>
  <si>
    <t>Standard</t>
  </si>
  <si>
    <t>Label</t>
  </si>
  <si>
    <t>Biologique</t>
  </si>
  <si>
    <t>Fosse de stockage 1</t>
  </si>
  <si>
    <t>Fosse de stockage 2</t>
  </si>
  <si>
    <t>Fumière (fumier copeaux frais)</t>
  </si>
  <si>
    <t>Fumière (fumier copeaux composté)</t>
  </si>
  <si>
    <t>Bout de champ (fumier paille frais)</t>
  </si>
  <si>
    <t>Hangar de stockage (fientes fraiches)</t>
  </si>
  <si>
    <t>Hangar de stockage (fientes préséchées en bâtiment)</t>
  </si>
  <si>
    <t>Bout de champ (fumier copeaux frais)</t>
  </si>
  <si>
    <t>Hangar de stockage (fientes séchées en tunnel de sèchage)</t>
  </si>
  <si>
    <t>Effectif annuel</t>
  </si>
  <si>
    <t>Surface de bâtiment (m²)</t>
  </si>
  <si>
    <t>Phase</t>
  </si>
  <si>
    <t>de j à j</t>
  </si>
  <si>
    <t>Livraison</t>
  </si>
  <si>
    <t>Espèce produite</t>
  </si>
  <si>
    <t>Note</t>
  </si>
  <si>
    <t>P*2,29</t>
  </si>
  <si>
    <t>K*1,21</t>
  </si>
  <si>
    <t>MAT</t>
  </si>
  <si>
    <t>N*6,25</t>
  </si>
  <si>
    <t>MS/2</t>
  </si>
  <si>
    <t>RATIO EAU/ALIMENT</t>
  </si>
  <si>
    <t>copeaux</t>
  </si>
  <si>
    <t>COMPOSITION LITIERE</t>
  </si>
  <si>
    <t>MS %</t>
  </si>
  <si>
    <t>Prot brute (%)</t>
  </si>
  <si>
    <t>C (kg/kg) (MB)</t>
  </si>
  <si>
    <t>N (g/kg)</t>
  </si>
  <si>
    <t>P (g/kg)</t>
  </si>
  <si>
    <t>K (g/kg)</t>
  </si>
  <si>
    <t>paille de blé</t>
  </si>
  <si>
    <t>Source : INRA / ARVALIS</t>
  </si>
  <si>
    <t>Source : ITP</t>
  </si>
  <si>
    <t>TOTAL INTRANTS</t>
  </si>
  <si>
    <t>MS  (kg)</t>
  </si>
  <si>
    <t>H2O (kg)</t>
  </si>
  <si>
    <t>C (kg)</t>
  </si>
  <si>
    <t>N (kg)</t>
  </si>
  <si>
    <t>P (kg)</t>
  </si>
  <si>
    <t>K (kg)</t>
  </si>
  <si>
    <t>EXCRETION DU LOT</t>
  </si>
  <si>
    <t xml:space="preserve">Lisier </t>
  </si>
  <si>
    <t>Fientes</t>
  </si>
  <si>
    <t>MO (kg/T)</t>
  </si>
  <si>
    <t>au bâtiment (Nvol/Nexcrété)</t>
  </si>
  <si>
    <t>au stockage (Nvol/Nsorti)</t>
  </si>
  <si>
    <t>Type d'effluent</t>
  </si>
  <si>
    <t>Intrants alimentation+Eau bue</t>
  </si>
  <si>
    <t>Intrant litière</t>
  </si>
  <si>
    <t>Intrant carcasse</t>
  </si>
  <si>
    <t>VOLATILISATION N</t>
  </si>
  <si>
    <t>COMPOSITION CARCASSE</t>
  </si>
  <si>
    <t>K (g/kg vif)</t>
  </si>
  <si>
    <t>P (g/kg vif)</t>
  </si>
  <si>
    <t>Sortant carcasse</t>
  </si>
  <si>
    <t>Teneur P2O5</t>
  </si>
  <si>
    <t>P2O5 (kg/T)</t>
  </si>
  <si>
    <t>Source : OFIVAL</t>
  </si>
  <si>
    <t>MS (% sortie Bâtiment</t>
  </si>
  <si>
    <t>Sortant Œufs</t>
  </si>
  <si>
    <t>Phase élevage</t>
  </si>
  <si>
    <t>Finition (chair)</t>
  </si>
  <si>
    <t>Croissance (chair)</t>
  </si>
  <si>
    <t>Début de ponte (pondeuses)</t>
  </si>
  <si>
    <t>Pic de ponte (pondeuses)</t>
  </si>
  <si>
    <t>Démarrage (chair)</t>
  </si>
  <si>
    <t>Lourd (chair)</t>
  </si>
  <si>
    <t>Détassage femelle 1 (chair)</t>
  </si>
  <si>
    <t>Détassage femelle 2 (chair)</t>
  </si>
  <si>
    <t>Détassage mâle 1 (chair)</t>
  </si>
  <si>
    <t>Effluent Composté</t>
  </si>
  <si>
    <t>Compostage</t>
  </si>
  <si>
    <t>Ouvrage de stockage et/ou type de produits</t>
  </si>
  <si>
    <t>Animaux - Effectifs</t>
  </si>
  <si>
    <t>Sortie d'Animaux</t>
  </si>
  <si>
    <t>Achats d'animaux</t>
  </si>
  <si>
    <t>Zone de calcul: à masquer</t>
  </si>
  <si>
    <t>je n'ai pas compatbiliser la maturation dans mon volume de fumier…est ce ncessaire?</t>
  </si>
  <si>
    <t>En fait ça n'a pas trop de sens de calculer mensuellement, d'auatnt plsu pour les fumiers; où on fait des erreurs.</t>
  </si>
  <si>
    <t>prise en compte volume connu se fait après</t>
  </si>
  <si>
    <t>prise en compte maturation? Non pas encore, à voir si on l'intégre</t>
  </si>
  <si>
    <t>Solide (fumière et bout de champs)</t>
  </si>
  <si>
    <t>Liquides (fosse 1)</t>
  </si>
  <si>
    <t>Filière/atelier</t>
  </si>
  <si>
    <t>Porcins</t>
  </si>
  <si>
    <t>Consommation d'aliment</t>
  </si>
  <si>
    <t>Caracteristiques de l'élevage</t>
  </si>
  <si>
    <t>Caractéristiques Aliment</t>
  </si>
  <si>
    <t>Chute de ponte (pondeuses)</t>
  </si>
  <si>
    <t>Abattage (chair)</t>
  </si>
  <si>
    <t>Source : ITAVI 2012</t>
  </si>
  <si>
    <t>EFFLUENT SORTIE BÂTIMENT</t>
  </si>
  <si>
    <t>Quantité totale (T/an)</t>
  </si>
  <si>
    <t>EFFLUENT SORTIE STOCKAGE</t>
  </si>
  <si>
    <t>MO (%MS)</t>
  </si>
  <si>
    <t>MO (kg)</t>
  </si>
  <si>
    <t>MS (%)</t>
  </si>
  <si>
    <t>MAT (%)</t>
  </si>
  <si>
    <t>P total (%)</t>
  </si>
  <si>
    <t>TOTAL SORTANT</t>
  </si>
  <si>
    <t>NB : Compost = (Volat Stockage x 2)</t>
  </si>
  <si>
    <t>K (%)</t>
  </si>
  <si>
    <t>POIDS TOTAL SORTIE (vif + morts) en kg/lot</t>
  </si>
  <si>
    <t>Aliments Consommés par lot</t>
  </si>
  <si>
    <t>Résultats multifilières</t>
  </si>
  <si>
    <t>Ouvrages</t>
  </si>
  <si>
    <t>Intitulés produits</t>
  </si>
  <si>
    <t>Proportion des 8 % d'abattement si couverture</t>
  </si>
  <si>
    <t>% de lisier concerné directement</t>
  </si>
  <si>
    <t>par la variation de volume</t>
  </si>
  <si>
    <t>Moyenne annuelle</t>
  </si>
  <si>
    <t>Catégorie animaux (descriptif complémentaire)</t>
  </si>
  <si>
    <t>Résultats sur les 3 lignes de choix</t>
  </si>
  <si>
    <t>Proportion de lisier hors pluie</t>
  </si>
  <si>
    <t>Proportion de pluie selon la région uniquement (hors période d'épandage) pour le calcul du volume</t>
  </si>
  <si>
    <t>Concentration des effluents sur la période considérée</t>
  </si>
  <si>
    <t>Même chose mais en tenant compte de la couverture et de la région</t>
  </si>
  <si>
    <t>Coeff concentration</t>
  </si>
  <si>
    <t>été/hiver</t>
  </si>
  <si>
    <t>Présence d'une couverture (rappel première feuille de saisie)</t>
  </si>
  <si>
    <t>(idem)</t>
  </si>
  <si>
    <t>(rappel première feuille de saisie)</t>
  </si>
  <si>
    <t>Rappel catégories d'animaux</t>
  </si>
  <si>
    <t>et des ouvrages de stockage</t>
  </si>
  <si>
    <r>
      <t>P</t>
    </r>
    <r>
      <rPr>
        <b/>
        <sz val="8"/>
        <color theme="9" tint="-0.499984740745262"/>
        <rFont val="Calibri"/>
        <family val="2"/>
        <scheme val="minor"/>
      </rPr>
      <t>2</t>
    </r>
    <r>
      <rPr>
        <b/>
        <sz val="11"/>
        <color theme="9" tint="-0.499984740745262"/>
        <rFont val="Calibri"/>
        <family val="2"/>
        <scheme val="minor"/>
      </rPr>
      <t>O</t>
    </r>
    <r>
      <rPr>
        <b/>
        <sz val="8"/>
        <color theme="9" tint="-0.499984740745262"/>
        <rFont val="Calibri"/>
        <family val="2"/>
        <scheme val="minor"/>
      </rPr>
      <t>5</t>
    </r>
  </si>
  <si>
    <r>
      <t>K</t>
    </r>
    <r>
      <rPr>
        <b/>
        <sz val="8"/>
        <color theme="9" tint="-0.499984740745262"/>
        <rFont val="Calibri"/>
        <family val="2"/>
        <scheme val="minor"/>
      </rPr>
      <t>2</t>
    </r>
    <r>
      <rPr>
        <b/>
        <sz val="11"/>
        <color theme="9" tint="-0.499984740745262"/>
        <rFont val="Calibri"/>
        <family val="2"/>
        <scheme val="minor"/>
      </rPr>
      <t>O</t>
    </r>
  </si>
  <si>
    <t>% perte totale d'azote</t>
  </si>
  <si>
    <t>Pertes d'azote par volatilisation</t>
  </si>
  <si>
    <t>Fumier paille</t>
  </si>
  <si>
    <t>compost paille</t>
  </si>
  <si>
    <t>Fumier sciure</t>
  </si>
  <si>
    <t>Global</t>
  </si>
  <si>
    <t>PS et PC</t>
  </si>
  <si>
    <t>Bâtiment +</t>
  </si>
  <si>
    <t>sans corr</t>
  </si>
  <si>
    <t>corrigé</t>
  </si>
  <si>
    <t>Correction par la t°</t>
  </si>
  <si>
    <t>extérieur</t>
  </si>
  <si>
    <t>couverture</t>
  </si>
  <si>
    <t>sans Corr</t>
  </si>
  <si>
    <t>global</t>
  </si>
  <si>
    <t>durée</t>
  </si>
  <si>
    <t>compostage</t>
  </si>
  <si>
    <t>(effet saison)</t>
  </si>
  <si>
    <t>Avec effet</t>
  </si>
  <si>
    <t>Maintenance de la litière</t>
  </si>
  <si>
    <t>Durée de compostage</t>
  </si>
  <si>
    <t>&lt; 2 mois</t>
  </si>
  <si>
    <t>Entre 2 et 6 mois</t>
  </si>
  <si>
    <t>&gt; 6 mois</t>
  </si>
  <si>
    <t>Facteurs de variation de la composition des fumiers (premier menu déroulant uniquement) et des composts (les 2 menus déroulants)</t>
  </si>
  <si>
    <t>avec corr</t>
  </si>
  <si>
    <t>Coefficients adaptés de l'article de Rigolot et al (2010) + calculateur Sandrine (adapté Corinair et Citepa)</t>
  </si>
  <si>
    <t>et cochettes</t>
  </si>
  <si>
    <t>PS+PC</t>
  </si>
  <si>
    <t>F1</t>
  </si>
  <si>
    <t>F2</t>
  </si>
  <si>
    <t>Lisier fosse 1</t>
  </si>
  <si>
    <t>lisier fosse 2</t>
  </si>
  <si>
    <t>Répartition des stades physiologiques pour déterminer la volatilisation en ba^timent (lisier)</t>
  </si>
  <si>
    <t>OFFIVAL 2001</t>
  </si>
  <si>
    <t xml:space="preserve">Eau </t>
  </si>
  <si>
    <t>Litière</t>
  </si>
  <si>
    <t>Composition Fumier sortie Batiment</t>
  </si>
  <si>
    <t>Source : ITAVI - STA 2001</t>
  </si>
  <si>
    <t>MS (% sortie Bâtiment)</t>
  </si>
  <si>
    <t>Nom/N° élevage</t>
  </si>
  <si>
    <t>QUANTITE EFFLUENT ESTIME (T/an)</t>
  </si>
  <si>
    <t>COMPOSITION EFFLUENT ENTREE STOCKAGE</t>
  </si>
  <si>
    <t>COMPOSITION EFFLUENT SORTIE STOCKAGE</t>
  </si>
  <si>
    <t>50% du C et du K volatilisé</t>
  </si>
  <si>
    <t>Teneur dans les fumiers</t>
  </si>
  <si>
    <t>en mg/kg vif</t>
  </si>
  <si>
    <t>mg/kg œuf</t>
  </si>
  <si>
    <t>EFFECTIFS DETAILLES PORC</t>
  </si>
  <si>
    <t>Couverture ouvrage de stockage lisier :</t>
  </si>
  <si>
    <t>Total/moyennes</t>
  </si>
  <si>
    <t xml:space="preserve">Alimentation sèche - eau rationnée </t>
  </si>
  <si>
    <t>Fumière ( fumier paille frais )</t>
  </si>
  <si>
    <t>Fumière ( litière sciure fraiche )</t>
  </si>
  <si>
    <t>Identification double liste déroulante :</t>
  </si>
  <si>
    <t>Couverture ouvrage de stockage fumier :</t>
  </si>
  <si>
    <t xml:space="preserve">CORPEN 2001 N, P, K , UFL, PDIE, PDIN </t>
  </si>
  <si>
    <t>CORPEN 2001, N, P, K, UFL, PDIE, PDIN(moyenne Foin + ensilage d'herbe)</t>
  </si>
  <si>
    <t xml:space="preserve">CORPEN 2001, N, P, K, UFL, PDIE, PDIN </t>
  </si>
  <si>
    <t>Source</t>
  </si>
  <si>
    <t>CORPEN 2001, N, P, K, UFL, PDIE, PDIN</t>
  </si>
  <si>
    <t>A masquer</t>
  </si>
  <si>
    <t>. Fonctionne sur excel 2007</t>
  </si>
  <si>
    <t>A conserver: critères double liste déroulante</t>
  </si>
  <si>
    <t>Résultats porc</t>
  </si>
  <si>
    <t>à adapter selon région</t>
  </si>
  <si>
    <t>Effet période d'épandage (uniquement pour le calcul de la concentration)</t>
  </si>
  <si>
    <t>Répartition pluviométrique</t>
  </si>
  <si>
    <t>Ligne 1</t>
  </si>
  <si>
    <t>Ligne 2</t>
  </si>
  <si>
    <t>Ligne 3</t>
  </si>
  <si>
    <t>Qté</t>
  </si>
  <si>
    <t>effluent</t>
  </si>
  <si>
    <t xml:space="preserve">Coefficients </t>
  </si>
  <si>
    <t>correspondant</t>
  </si>
  <si>
    <t>N total</t>
  </si>
  <si>
    <t>du tableau feuille initiale</t>
  </si>
  <si>
    <t>si connue</t>
  </si>
  <si>
    <t>en mm/an</t>
  </si>
  <si>
    <t>Angers</t>
  </si>
  <si>
    <t>St Malo</t>
  </si>
  <si>
    <t>Proportion de carbone résiduel à l'excrétion par l'animal/ masse brut aliment ingéré</t>
  </si>
  <si>
    <t>107 jours d'engraissement et 51 jours de PS (GTE 2012)</t>
  </si>
  <si>
    <t>DAC (truie) ou alim. sèche (porc charcutier)</t>
  </si>
  <si>
    <t>Réfectoire + courette (truie) ou alim. humide (porc charcutier)</t>
  </si>
  <si>
    <t>Autres cas</t>
  </si>
  <si>
    <t>DAC</t>
  </si>
  <si>
    <t>Réfectoire + courette</t>
  </si>
  <si>
    <t>Autres</t>
  </si>
  <si>
    <t>Alim sèche</t>
  </si>
  <si>
    <t>Alim humide</t>
  </si>
  <si>
    <t>Qté (kg)</t>
  </si>
  <si>
    <t>Fumier :</t>
  </si>
  <si>
    <t>sciure</t>
  </si>
  <si>
    <t>L1</t>
  </si>
  <si>
    <t>L2</t>
  </si>
  <si>
    <t>L3</t>
  </si>
  <si>
    <t>Masse (t)</t>
  </si>
  <si>
    <t>à retenir</t>
  </si>
  <si>
    <t>Fumière (fumier paille compostée)</t>
  </si>
  <si>
    <t xml:space="preserve">N ex </t>
  </si>
  <si>
    <t xml:space="preserve">P ex </t>
  </si>
  <si>
    <t xml:space="preserve">K ex </t>
  </si>
  <si>
    <t>équ° CORPEN VA (p23 CORPEN, Groupe Alimentation - juin 2001)</t>
  </si>
  <si>
    <t>D'après p23 de la circulaire Déc. 2001</t>
  </si>
  <si>
    <t>Modulation -/- à la référence (Circulaire déc. 2001. p22)</t>
  </si>
  <si>
    <t>Référence</t>
  </si>
  <si>
    <t>Circ.déc. 2001 - Capdeville</t>
  </si>
  <si>
    <t>réf. CORPEN,  juin 2001</t>
  </si>
  <si>
    <t>Nex tot</t>
  </si>
  <si>
    <t>Pex tot</t>
  </si>
  <si>
    <t>Kex tot</t>
  </si>
  <si>
    <t>Ma fumière est  couverte ?</t>
  </si>
  <si>
    <t>Ma fosse de stockage est couverte  ?</t>
  </si>
  <si>
    <t xml:space="preserve">    Techniques d'alimentation, d'abreuvement </t>
  </si>
  <si>
    <t>et intensité lavage</t>
  </si>
  <si>
    <t>ou durée compostage</t>
  </si>
  <si>
    <t>Ligne 1: fosse 1</t>
  </si>
  <si>
    <t>Ligne 2: fosse 2</t>
  </si>
  <si>
    <t>Effet</t>
  </si>
  <si>
    <t>Le tableau ci-dessous sert à déterminer le coefficient de volatilisation de l'azote selon durée de compostage + le taux de MS du fumier/compost</t>
  </si>
  <si>
    <t>Qté de MS</t>
  </si>
  <si>
    <t>Référence quantité de lisier produite (m3/truie présente et m3/animal produit)</t>
  </si>
  <si>
    <t>Méthode de détermination des rejets :</t>
  </si>
  <si>
    <t>produit brut</t>
  </si>
  <si>
    <t>Quantités</t>
  </si>
  <si>
    <t>annuelles</t>
  </si>
  <si>
    <t>Quantités d'éléments transitant dans l'ouvrage de stockage/an</t>
  </si>
  <si>
    <t>Équarrissage</t>
  </si>
  <si>
    <t>Production</t>
  </si>
  <si>
    <t>REFERENTIEL TECHNIQUE (moyenne annuelle)</t>
  </si>
  <si>
    <t>COMPOSITION (gr)</t>
  </si>
  <si>
    <t>EXCRETION (kg)</t>
  </si>
  <si>
    <t>Poids moyen (kg)</t>
  </si>
  <si>
    <t>Ca</t>
  </si>
  <si>
    <t>Poids moyen des morts (kg)</t>
  </si>
  <si>
    <t>Ingéré</t>
  </si>
  <si>
    <t>Mortalité (%)</t>
  </si>
  <si>
    <t>Aliment</t>
  </si>
  <si>
    <t>Apport litière</t>
  </si>
  <si>
    <t>Œuf</t>
  </si>
  <si>
    <t>Fixé par vivants</t>
  </si>
  <si>
    <t>Nbre de bandes/an</t>
  </si>
  <si>
    <t>Fixé par les œufs</t>
  </si>
  <si>
    <t>Effectif (animaux/bande)</t>
  </si>
  <si>
    <t>Fixé par les morts</t>
  </si>
  <si>
    <t>Excrété net total</t>
  </si>
  <si>
    <t>dont en bâtiment</t>
  </si>
  <si>
    <t>REPARTITION des DEJECTIONS (%)</t>
  </si>
  <si>
    <t>dont sur parcours</t>
  </si>
  <si>
    <t>en kg/an</t>
  </si>
  <si>
    <t>Parcours</t>
  </si>
  <si>
    <t>Composition Effluent</t>
  </si>
  <si>
    <t>Composition sortie stockage</t>
  </si>
  <si>
    <t>LITIERE (T)</t>
  </si>
  <si>
    <t>(kg/T d'effluent)</t>
  </si>
  <si>
    <t>MO (%)</t>
  </si>
  <si>
    <t>C/N</t>
  </si>
  <si>
    <t>MO%</t>
  </si>
  <si>
    <t>MS%</t>
  </si>
  <si>
    <t>Sortie de bâtiment</t>
  </si>
  <si>
    <t>Fin de stockage</t>
  </si>
  <si>
    <t>QUANTITE DE DEJECTION PRODUITES (T/an)</t>
  </si>
  <si>
    <t>Composition sortie compostage</t>
  </si>
  <si>
    <t>PERTES D'AZOTE</t>
  </si>
  <si>
    <t>Poids du poussin (kg)</t>
  </si>
  <si>
    <t>LEBEC</t>
  </si>
  <si>
    <t>Durée (j)</t>
  </si>
  <si>
    <t>LITIERE (T/an)</t>
  </si>
  <si>
    <t>si la donnée est connue (entrez la valeur ci-dessous)</t>
  </si>
  <si>
    <t>EFFECTIF D'UN LOT REPRESENTATIF</t>
  </si>
  <si>
    <t>DETASSAGE 1</t>
  </si>
  <si>
    <t>DETASSAGE 2</t>
  </si>
  <si>
    <t>FIN DE BANDE</t>
  </si>
  <si>
    <t>Anx entrés en début de bande</t>
  </si>
  <si>
    <t>Nombre détassé</t>
  </si>
  <si>
    <t>Poids au détassage</t>
  </si>
  <si>
    <t>Effectif final</t>
  </si>
  <si>
    <t>Poids final</t>
  </si>
  <si>
    <t>Mâle</t>
  </si>
  <si>
    <t>Femelle</t>
  </si>
  <si>
    <t>MS% sortie stockage</t>
  </si>
  <si>
    <t>Paille + copeaux</t>
  </si>
  <si>
    <t>TYPE EFFLUENT</t>
  </si>
  <si>
    <t>Perte N</t>
  </si>
  <si>
    <t>perte C</t>
  </si>
  <si>
    <t>Perte Masse</t>
  </si>
  <si>
    <t>Perte K</t>
  </si>
  <si>
    <t>Perte en Eau</t>
  </si>
  <si>
    <t>COMPOSITION ALIMENT</t>
  </si>
  <si>
    <t>N (g/kg d'aliment)</t>
  </si>
  <si>
    <t>P(g/kg d'aliment)</t>
  </si>
  <si>
    <t>K (g/kg d'aliment)</t>
  </si>
  <si>
    <t>Ca (g/kg d'aliment)</t>
  </si>
  <si>
    <t>Cu (g/kg d'aliment)</t>
  </si>
  <si>
    <t>Zn (g/kg d'aliment)</t>
  </si>
  <si>
    <t>N (g/kg vif</t>
  </si>
  <si>
    <t>Ca (g/kg vif)</t>
  </si>
  <si>
    <t>Cu (g/kg vif)</t>
  </si>
  <si>
    <t>Zn (g/kg vif)</t>
  </si>
  <si>
    <t>(composition œufs)</t>
  </si>
  <si>
    <t>QUANTITE FUMIER</t>
  </si>
  <si>
    <t>kg/animaux</t>
  </si>
  <si>
    <t>Source : OFFIVAL 2001</t>
  </si>
  <si>
    <t>Sortie Bâtiment</t>
  </si>
  <si>
    <t>Sortie stockage</t>
  </si>
  <si>
    <t>Ca (%)</t>
  </si>
  <si>
    <t>Cu (%)</t>
  </si>
  <si>
    <t>Zn (%)</t>
  </si>
  <si>
    <t>2 à 10</t>
  </si>
  <si>
    <t>11 à 18</t>
  </si>
  <si>
    <t>19 à 29</t>
  </si>
  <si>
    <t>Qantité totale consommée sur le lot (Kg)</t>
  </si>
  <si>
    <t>H2O(Kg)</t>
  </si>
  <si>
    <t>C(Kg)</t>
  </si>
  <si>
    <t>N(Kg)</t>
  </si>
  <si>
    <t>P(Kg)</t>
  </si>
  <si>
    <t>K(Kg)</t>
  </si>
  <si>
    <t>Ca(Kg)</t>
  </si>
  <si>
    <t>Cu(Kg)</t>
  </si>
  <si>
    <t>Zn(Kg)</t>
  </si>
  <si>
    <t>Quantité totale d'eau bue (L)</t>
  </si>
  <si>
    <t>Ca (kg)</t>
  </si>
  <si>
    <t>Cu (kg)</t>
  </si>
  <si>
    <t>Zn (kg)</t>
  </si>
  <si>
    <t xml:space="preserve"> </t>
  </si>
  <si>
    <t>MS(%)</t>
  </si>
  <si>
    <t>EFFLUENT COMPOSTE</t>
  </si>
  <si>
    <t>C 
(kg/T)</t>
  </si>
  <si>
    <t>N
(kg/T)</t>
  </si>
  <si>
    <t>P 
(kg/T)</t>
  </si>
  <si>
    <t>K
(kg/T)</t>
  </si>
  <si>
    <t>Ca (kg/T)</t>
  </si>
  <si>
    <t>Cu (kg/T)</t>
  </si>
  <si>
    <t>Zn (kg/T)</t>
  </si>
  <si>
    <r>
      <t xml:space="preserve">QUANTITE DE DEJECTION PRODUITES (T/an) </t>
    </r>
    <r>
      <rPr>
        <sz val="10"/>
        <color theme="1"/>
        <rFont val="Calibri"/>
        <family val="2"/>
        <scheme val="minor"/>
      </rPr>
      <t>si l'information n'est pas connue</t>
    </r>
  </si>
  <si>
    <t>N ammoniacal (%N)</t>
  </si>
  <si>
    <t>Pour chaque nouvelle simulation, ne pas oublier de solliciter intégralement les menus déroulants</t>
  </si>
  <si>
    <t>Version 1.0</t>
  </si>
  <si>
    <t>T.M.P.</t>
  </si>
  <si>
    <t>. Adapté du CORPEN (2003) pour le calcul des rejets porcins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</si>
</sst>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0"/>
    <numFmt numFmtId="165" formatCode="0.000"/>
    <numFmt numFmtId="166" formatCode="0.0000"/>
    <numFmt numFmtId="167" formatCode="0.00000"/>
    <numFmt numFmtId="168" formatCode="#,##0.0"/>
    <numFmt numFmtId="169" formatCode="#,##0.000"/>
  </numFmts>
  <fonts count="80" x14ac:knownFonts="1">
    <font>
      <sz val="11"/>
      <color theme="1"/>
      <name val="Calibri"/>
      <family val="2"/>
      <scheme val="minor"/>
    </font>
    <font>
      <b/>
      <sz val="11"/>
      <color theme="1"/>
      <name val="Calibri"/>
      <family val="2"/>
      <scheme val="minor"/>
    </font>
    <font>
      <sz val="11"/>
      <color theme="0"/>
      <name val="Calibri"/>
      <family val="2"/>
      <scheme val="minor"/>
    </font>
    <font>
      <sz val="8"/>
      <color indexed="81"/>
      <name val="Tahoma"/>
      <family val="2"/>
    </font>
    <font>
      <i/>
      <sz val="11"/>
      <color theme="1"/>
      <name val="Calibri"/>
      <family val="2"/>
      <scheme val="minor"/>
    </font>
    <font>
      <b/>
      <sz val="8"/>
      <color indexed="81"/>
      <name val="Tahoma"/>
      <family val="2"/>
    </font>
    <font>
      <b/>
      <sz val="10"/>
      <name val="Arial"/>
      <family val="2"/>
    </font>
    <font>
      <sz val="10"/>
      <name val="Arial"/>
      <family val="2"/>
    </font>
    <font>
      <sz val="11"/>
      <name val="Calibri"/>
      <family val="2"/>
      <scheme val="minor"/>
    </font>
    <font>
      <b/>
      <i/>
      <sz val="11"/>
      <color theme="1"/>
      <name val="Calibri"/>
      <family val="2"/>
      <scheme val="minor"/>
    </font>
    <font>
      <sz val="11"/>
      <color rgb="FFFF0000"/>
      <name val="Calibri"/>
      <family val="2"/>
      <scheme val="minor"/>
    </font>
    <font>
      <b/>
      <sz val="11"/>
      <color rgb="FFFF0000"/>
      <name val="Calibri"/>
      <family val="2"/>
      <scheme val="minor"/>
    </font>
    <font>
      <b/>
      <sz val="11"/>
      <name val="Calibri"/>
      <family val="2"/>
      <scheme val="minor"/>
    </font>
    <font>
      <b/>
      <sz val="11"/>
      <color theme="5" tint="0.79998168889431442"/>
      <name val="Calibri"/>
      <family val="2"/>
      <scheme val="minor"/>
    </font>
    <font>
      <sz val="11"/>
      <color theme="5" tint="0.79998168889431442"/>
      <name val="Calibri"/>
      <family val="2"/>
      <scheme val="minor"/>
    </font>
    <font>
      <sz val="10"/>
      <color indexed="24"/>
      <name val="Arial"/>
      <family val="2"/>
    </font>
    <font>
      <b/>
      <u/>
      <sz val="10"/>
      <color indexed="8"/>
      <name val="Arial"/>
      <family val="2"/>
    </font>
    <font>
      <sz val="10"/>
      <color indexed="8"/>
      <name val="Arial"/>
      <family val="2"/>
    </font>
    <font>
      <b/>
      <sz val="10"/>
      <color indexed="8"/>
      <name val="Arial"/>
      <family val="2"/>
    </font>
    <font>
      <sz val="11"/>
      <color theme="1"/>
      <name val="Calibri"/>
      <family val="2"/>
      <scheme val="minor"/>
    </font>
    <font>
      <b/>
      <sz val="10"/>
      <color indexed="24"/>
      <name val="Arial"/>
      <family val="2"/>
    </font>
    <font>
      <b/>
      <sz val="11"/>
      <color theme="0"/>
      <name val="Calibri"/>
      <family val="2"/>
      <scheme val="minor"/>
    </font>
    <font>
      <sz val="10"/>
      <color theme="1"/>
      <name val="Calibri"/>
      <family val="2"/>
      <scheme val="minor"/>
    </font>
    <font>
      <sz val="10"/>
      <color theme="1"/>
      <name val="Arial"/>
      <family val="2"/>
    </font>
    <font>
      <sz val="12"/>
      <color indexed="8"/>
      <name val="Calibri"/>
      <family val="2"/>
    </font>
    <font>
      <sz val="11"/>
      <name val="Calibri"/>
      <family val="2"/>
    </font>
    <font>
      <sz val="8"/>
      <color theme="1"/>
      <name val="Arial Black"/>
      <family val="2"/>
    </font>
    <font>
      <sz val="11"/>
      <color indexed="8"/>
      <name val="Calibri"/>
      <family val="2"/>
    </font>
    <font>
      <sz val="9"/>
      <color theme="1"/>
      <name val="Arial"/>
      <family val="2"/>
    </font>
    <font>
      <sz val="11"/>
      <color indexed="24"/>
      <name val="Calibri"/>
      <family val="2"/>
      <scheme val="minor"/>
    </font>
    <font>
      <b/>
      <sz val="11"/>
      <color indexed="8"/>
      <name val="Calibri"/>
      <family val="2"/>
      <scheme val="minor"/>
    </font>
    <font>
      <sz val="11"/>
      <color indexed="8"/>
      <name val="Calibri"/>
      <family val="2"/>
      <scheme val="minor"/>
    </font>
    <font>
      <b/>
      <u/>
      <sz val="11"/>
      <color indexed="8"/>
      <name val="Calibri"/>
      <family val="2"/>
      <scheme val="minor"/>
    </font>
    <font>
      <u/>
      <sz val="11"/>
      <color indexed="8"/>
      <name val="Calibri"/>
      <family val="2"/>
      <scheme val="minor"/>
    </font>
    <font>
      <b/>
      <sz val="11"/>
      <color theme="9" tint="-0.499984740745262"/>
      <name val="Calibri"/>
      <family val="2"/>
      <scheme val="minor"/>
    </font>
    <font>
      <b/>
      <sz val="11"/>
      <color theme="6" tint="-0.499984740745262"/>
      <name val="Calibri"/>
      <family val="2"/>
      <scheme val="minor"/>
    </font>
    <font>
      <b/>
      <sz val="48"/>
      <color theme="9" tint="-0.499984740745262"/>
      <name val="Brush Script MT"/>
      <family val="4"/>
    </font>
    <font>
      <sz val="11"/>
      <color theme="9" tint="-0.499984740745262"/>
      <name val="Calibri"/>
      <family val="2"/>
      <scheme val="minor"/>
    </font>
    <font>
      <sz val="11"/>
      <color theme="6" tint="-0.499984740745262"/>
      <name val="Calibri"/>
      <family val="2"/>
      <scheme val="minor"/>
    </font>
    <font>
      <i/>
      <sz val="8"/>
      <color theme="1"/>
      <name val="Calibri"/>
      <family val="2"/>
      <scheme val="minor"/>
    </font>
    <font>
      <b/>
      <sz val="16"/>
      <color theme="1"/>
      <name val="Calibri"/>
      <family val="2"/>
      <scheme val="minor"/>
    </font>
    <font>
      <b/>
      <sz val="20"/>
      <color theme="1"/>
      <name val="Calibri"/>
      <family val="2"/>
      <scheme val="minor"/>
    </font>
    <font>
      <sz val="9"/>
      <color indexed="81"/>
      <name val="Tahoma"/>
      <family val="2"/>
    </font>
    <font>
      <b/>
      <sz val="9"/>
      <color indexed="81"/>
      <name val="Tahoma"/>
      <family val="2"/>
    </font>
    <font>
      <sz val="75"/>
      <color theme="1"/>
      <name val="Calibri"/>
      <family val="2"/>
      <scheme val="minor"/>
    </font>
    <font>
      <b/>
      <sz val="18"/>
      <color indexed="8"/>
      <name val="Calibri"/>
      <family val="2"/>
      <scheme val="minor"/>
    </font>
    <font>
      <sz val="18"/>
      <color theme="1"/>
      <name val="Calibri"/>
      <family val="2"/>
      <scheme val="minor"/>
    </font>
    <font>
      <sz val="20"/>
      <name val="Calibri"/>
      <family val="2"/>
      <scheme val="minor"/>
    </font>
    <font>
      <b/>
      <sz val="20"/>
      <name val="Calibri"/>
      <family val="2"/>
      <scheme val="minor"/>
    </font>
    <font>
      <b/>
      <sz val="8"/>
      <color theme="9" tint="-0.499984740745262"/>
      <name val="Calibri"/>
      <family val="2"/>
      <scheme val="minor"/>
    </font>
    <font>
      <b/>
      <sz val="12"/>
      <color rgb="FFFF0000"/>
      <name val="Calibri"/>
      <family val="2"/>
      <scheme val="minor"/>
    </font>
    <font>
      <u/>
      <sz val="8"/>
      <color indexed="81"/>
      <name val="Tahoma"/>
      <family val="2"/>
    </font>
    <font>
      <sz val="16"/>
      <color theme="0"/>
      <name val="Calibri"/>
      <family val="2"/>
      <scheme val="minor"/>
    </font>
    <font>
      <b/>
      <sz val="16"/>
      <color theme="0"/>
      <name val="Calibri"/>
      <family val="2"/>
      <scheme val="minor"/>
    </font>
    <font>
      <sz val="12"/>
      <color indexed="81"/>
      <name val="Tahoma"/>
      <family val="2"/>
    </font>
    <font>
      <b/>
      <sz val="12"/>
      <color indexed="81"/>
      <name val="Tahoma"/>
      <family val="2"/>
    </font>
    <font>
      <sz val="14"/>
      <color theme="1"/>
      <name val="Calibri"/>
      <family val="2"/>
      <scheme val="minor"/>
    </font>
    <font>
      <b/>
      <sz val="14"/>
      <color theme="0"/>
      <name val="Calibri"/>
      <family val="2"/>
      <scheme val="minor"/>
    </font>
    <font>
      <sz val="14"/>
      <color theme="0"/>
      <name val="Calibri"/>
      <family val="2"/>
      <scheme val="minor"/>
    </font>
    <font>
      <sz val="12"/>
      <color theme="0"/>
      <name val="Calibri"/>
      <family val="2"/>
      <scheme val="minor"/>
    </font>
    <font>
      <b/>
      <sz val="14"/>
      <name val="Calibri"/>
      <family val="2"/>
      <scheme val="minor"/>
    </font>
    <font>
      <sz val="14"/>
      <color indexed="81"/>
      <name val="Tahoma"/>
      <family val="2"/>
    </font>
    <font>
      <sz val="16"/>
      <color indexed="81"/>
      <name val="Tahoma"/>
      <family val="2"/>
    </font>
    <font>
      <i/>
      <sz val="12"/>
      <color theme="1"/>
      <name val="Calibri"/>
      <family val="2"/>
      <scheme val="minor"/>
    </font>
    <font>
      <sz val="12"/>
      <color theme="1"/>
      <name val="Calibri"/>
      <family val="2"/>
      <scheme val="minor"/>
    </font>
    <font>
      <b/>
      <i/>
      <sz val="12"/>
      <color theme="0"/>
      <name val="Calibri"/>
      <family val="2"/>
      <scheme val="minor"/>
    </font>
    <font>
      <b/>
      <sz val="12"/>
      <color theme="1"/>
      <name val="Calibri"/>
      <family val="2"/>
      <scheme val="minor"/>
    </font>
    <font>
      <sz val="12"/>
      <name val="Calibri"/>
      <family val="2"/>
      <scheme val="minor"/>
    </font>
    <font>
      <u/>
      <sz val="9"/>
      <color indexed="81"/>
      <name val="Tahoma"/>
      <family val="2"/>
    </font>
    <font>
      <b/>
      <sz val="24"/>
      <color theme="9" tint="-0.499984740745262"/>
      <name val="Calibri"/>
      <family val="2"/>
      <scheme val="minor"/>
    </font>
    <font>
      <b/>
      <sz val="14"/>
      <color theme="1"/>
      <name val="Calibri"/>
      <family val="2"/>
      <scheme val="minor"/>
    </font>
    <font>
      <sz val="11"/>
      <color theme="3" tint="0.39997558519241921"/>
      <name val="Calibri"/>
      <family val="2"/>
      <scheme val="minor"/>
    </font>
    <font>
      <b/>
      <sz val="11"/>
      <color theme="3" tint="0.39997558519241921"/>
      <name val="Calibri"/>
      <family val="2"/>
      <scheme val="minor"/>
    </font>
    <font>
      <sz val="10"/>
      <color theme="3" tint="0.39997558519241921"/>
      <name val="Arial"/>
      <family val="2"/>
    </font>
    <font>
      <sz val="10"/>
      <color theme="3" tint="0.39997558519241921"/>
      <name val="Calibri"/>
      <family val="2"/>
      <scheme val="minor"/>
    </font>
    <font>
      <i/>
      <sz val="8"/>
      <color theme="3" tint="0.39997558519241921"/>
      <name val="Calibri"/>
      <family val="2"/>
      <scheme val="minor"/>
    </font>
    <font>
      <sz val="8"/>
      <color theme="3" tint="0.39997558519241921"/>
      <name val="Calibri"/>
      <family val="2"/>
      <scheme val="minor"/>
    </font>
    <font>
      <sz val="14"/>
      <color theme="3" tint="0.39997558519241921"/>
      <name val="Calibri"/>
      <family val="2"/>
      <scheme val="minor"/>
    </font>
    <font>
      <sz val="12"/>
      <color theme="3" tint="0.39997558519241921"/>
      <name val="Calibri"/>
      <family val="2"/>
      <scheme val="minor"/>
    </font>
    <font>
      <b/>
      <sz val="18"/>
      <color theme="1"/>
      <name val="Calibri"/>
      <family val="2"/>
      <scheme val="minor"/>
    </font>
  </fonts>
  <fills count="37">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rgb="FF002060"/>
        <bgColor indexed="64"/>
      </patternFill>
    </fill>
    <fill>
      <patternFill patternType="solid">
        <fgColor theme="5"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3"/>
        <bgColor indexed="64"/>
      </patternFill>
    </fill>
    <fill>
      <patternFill patternType="solid">
        <fgColor rgb="FF00B0F0"/>
        <bgColor indexed="64"/>
      </patternFill>
    </fill>
    <fill>
      <patternFill patternType="solid">
        <fgColor indexed="9"/>
        <bgColor indexed="26"/>
      </patternFill>
    </fill>
    <fill>
      <patternFill patternType="solid">
        <fgColor theme="5" tint="0.59999389629810485"/>
        <bgColor indexed="26"/>
      </patternFill>
    </fill>
    <fill>
      <patternFill patternType="solid">
        <fgColor theme="5" tint="0.59999389629810485"/>
        <bgColor indexed="13"/>
      </patternFill>
    </fill>
    <fill>
      <patternFill patternType="solid">
        <fgColor theme="0" tint="-4.9989318521683403E-2"/>
        <bgColor indexed="64"/>
      </patternFill>
    </fill>
    <fill>
      <patternFill patternType="solid">
        <fgColor theme="0"/>
        <bgColor indexed="64"/>
      </patternFill>
    </fill>
    <fill>
      <patternFill patternType="solid">
        <fgColor rgb="FFFF99CC"/>
        <bgColor indexed="64"/>
      </patternFill>
    </fill>
    <fill>
      <patternFill patternType="solid">
        <fgColor theme="0"/>
        <bgColor indexed="11"/>
      </patternFill>
    </fill>
    <fill>
      <patternFill patternType="solid">
        <fgColor theme="9" tint="0.79998168889431442"/>
        <bgColor indexed="11"/>
      </patternFill>
    </fill>
    <fill>
      <patternFill patternType="solid">
        <fgColor theme="3" tint="0.79998168889431442"/>
        <bgColor indexed="64"/>
      </patternFill>
    </fill>
    <fill>
      <patternFill patternType="solid">
        <fgColor rgb="FF00B0F0"/>
        <bgColor indexed="26"/>
      </patternFill>
    </fill>
    <fill>
      <patternFill patternType="solid">
        <fgColor theme="3" tint="0.39997558519241921"/>
        <bgColor indexed="64"/>
      </patternFill>
    </fill>
    <fill>
      <patternFill patternType="solid">
        <fgColor theme="3" tint="0.39997558519241921"/>
        <bgColor indexed="11"/>
      </patternFill>
    </fill>
  </fills>
  <borders count="9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s>
  <cellStyleXfs count="14">
    <xf numFmtId="0" fontId="0" fillId="0" borderId="0"/>
    <xf numFmtId="0" fontId="15" fillId="0" borderId="0"/>
    <xf numFmtId="4" fontId="15" fillId="0" borderId="0" applyFont="0" applyFill="0" applyBorder="0" applyAlignment="0" applyProtection="0"/>
    <xf numFmtId="9" fontId="1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7" fillId="0" borderId="0" applyFont="0" applyFill="0" applyBorder="0" applyAlignment="0" applyProtection="0"/>
    <xf numFmtId="43" fontId="19" fillId="0" borderId="0" applyFont="0" applyFill="0" applyBorder="0" applyAlignment="0" applyProtection="0"/>
  </cellStyleXfs>
  <cellXfs count="1182">
    <xf numFmtId="0" fontId="0" fillId="0" borderId="0" xfId="0"/>
    <xf numFmtId="0" fontId="0" fillId="4" borderId="0" xfId="0" applyFill="1"/>
    <xf numFmtId="0" fontId="0" fillId="0" borderId="1" xfId="0" applyBorder="1"/>
    <xf numFmtId="0" fontId="0" fillId="5" borderId="0" xfId="0" applyFill="1"/>
    <xf numFmtId="0" fontId="0" fillId="6" borderId="0" xfId="0" applyFill="1"/>
    <xf numFmtId="0" fontId="1" fillId="0" borderId="0" xfId="0" applyFont="1"/>
    <xf numFmtId="0" fontId="0" fillId="0" borderId="0" xfId="0" applyBorder="1"/>
    <xf numFmtId="0" fontId="1" fillId="0" borderId="1" xfId="0" applyFont="1" applyBorder="1"/>
    <xf numFmtId="0" fontId="4" fillId="0" borderId="1" xfId="0" applyFont="1" applyBorder="1"/>
    <xf numFmtId="0" fontId="4" fillId="0" borderId="0" xfId="0" applyFont="1"/>
    <xf numFmtId="0" fontId="0" fillId="0" borderId="1" xfId="0" applyFill="1" applyBorder="1"/>
    <xf numFmtId="0" fontId="1" fillId="0" borderId="3" xfId="0" applyFont="1" applyBorder="1"/>
    <xf numFmtId="0" fontId="0" fillId="0" borderId="0" xfId="0" applyFill="1"/>
    <xf numFmtId="0" fontId="0" fillId="0" borderId="0" xfId="0" quotePrefix="1"/>
    <xf numFmtId="0" fontId="6" fillId="0" borderId="1" xfId="0" applyFont="1" applyBorder="1"/>
    <xf numFmtId="0" fontId="7" fillId="0" borderId="1" xfId="0" applyFont="1" applyBorder="1"/>
    <xf numFmtId="0" fontId="7" fillId="0" borderId="1" xfId="0" applyFont="1" applyFill="1" applyBorder="1"/>
    <xf numFmtId="0" fontId="0" fillId="0" borderId="1" xfId="0" quotePrefix="1" applyBorder="1"/>
    <xf numFmtId="0" fontId="0" fillId="7" borderId="0" xfId="0" applyFill="1"/>
    <xf numFmtId="0" fontId="0" fillId="0" borderId="7" xfId="0" applyBorder="1" applyAlignment="1"/>
    <xf numFmtId="0" fontId="0" fillId="0" borderId="9" xfId="0" applyBorder="1" applyAlignment="1"/>
    <xf numFmtId="0" fontId="0" fillId="0" borderId="1" xfId="0" applyBorder="1" applyAlignment="1"/>
    <xf numFmtId="0" fontId="0" fillId="0" borderId="1" xfId="0" applyFill="1" applyBorder="1" applyAlignment="1"/>
    <xf numFmtId="0" fontId="2" fillId="9" borderId="0" xfId="0" applyFont="1" applyFill="1"/>
    <xf numFmtId="0" fontId="8" fillId="0" borderId="0" xfId="0" applyFont="1" applyFill="1"/>
    <xf numFmtId="2" fontId="0" fillId="0" borderId="1" xfId="0" applyNumberFormat="1" applyBorder="1"/>
    <xf numFmtId="0" fontId="1" fillId="0" borderId="1" xfId="0" applyFont="1" applyFill="1" applyBorder="1"/>
    <xf numFmtId="0" fontId="6" fillId="0" borderId="1" xfId="0" applyFont="1" applyFill="1" applyBorder="1"/>
    <xf numFmtId="164" fontId="0" fillId="0" borderId="0" xfId="0" applyNumberFormat="1"/>
    <xf numFmtId="165" fontId="0" fillId="0" borderId="0" xfId="0" applyNumberFormat="1"/>
    <xf numFmtId="0" fontId="0" fillId="11" borderId="0" xfId="0" applyFill="1"/>
    <xf numFmtId="2" fontId="0" fillId="11" borderId="0" xfId="0" applyNumberFormat="1" applyFill="1"/>
    <xf numFmtId="166" fontId="0" fillId="0" borderId="0" xfId="0" applyNumberFormat="1"/>
    <xf numFmtId="0" fontId="0" fillId="0" borderId="0" xfId="0" applyFont="1"/>
    <xf numFmtId="2" fontId="0" fillId="0" borderId="0" xfId="0" applyNumberFormat="1" applyFont="1"/>
    <xf numFmtId="0" fontId="0" fillId="11" borderId="0" xfId="0" applyFont="1" applyFill="1"/>
    <xf numFmtId="0" fontId="4" fillId="12" borderId="0" xfId="0" applyFont="1" applyFill="1"/>
    <xf numFmtId="2" fontId="4" fillId="12" borderId="0" xfId="0" applyNumberFormat="1" applyFont="1" applyFill="1"/>
    <xf numFmtId="165" fontId="4" fillId="12" borderId="0" xfId="0" applyNumberFormat="1" applyFont="1" applyFill="1"/>
    <xf numFmtId="164" fontId="4" fillId="0" borderId="0" xfId="0" applyNumberFormat="1" applyFont="1"/>
    <xf numFmtId="164" fontId="0" fillId="0" borderId="0" xfId="0" applyNumberFormat="1" applyFont="1"/>
    <xf numFmtId="164" fontId="4" fillId="12" borderId="0" xfId="0" applyNumberFormat="1" applyFont="1" applyFill="1"/>
    <xf numFmtId="0" fontId="4" fillId="0" borderId="0" xfId="0" applyFont="1" applyFill="1"/>
    <xf numFmtId="164" fontId="4" fillId="0" borderId="0" xfId="0" applyNumberFormat="1" applyFont="1" applyFill="1"/>
    <xf numFmtId="0" fontId="9" fillId="0" borderId="0" xfId="0" applyFont="1"/>
    <xf numFmtId="164" fontId="9" fillId="0" borderId="0" xfId="0" applyNumberFormat="1" applyFont="1"/>
    <xf numFmtId="164" fontId="1" fillId="0" borderId="0" xfId="0" applyNumberFormat="1" applyFont="1"/>
    <xf numFmtId="0" fontId="0" fillId="0" borderId="0" xfId="0" applyFont="1" applyFill="1"/>
    <xf numFmtId="0" fontId="1" fillId="0" borderId="18" xfId="0" applyFont="1" applyFill="1" applyBorder="1"/>
    <xf numFmtId="0" fontId="4" fillId="0" borderId="18" xfId="0" applyFont="1" applyFill="1" applyBorder="1"/>
    <xf numFmtId="0" fontId="1" fillId="13" borderId="1" xfId="0" applyFont="1" applyFill="1" applyBorder="1"/>
    <xf numFmtId="0" fontId="0" fillId="13" borderId="1" xfId="0" applyFill="1" applyBorder="1"/>
    <xf numFmtId="0" fontId="6" fillId="13" borderId="1" xfId="0" applyFont="1" applyFill="1" applyBorder="1"/>
    <xf numFmtId="0" fontId="1" fillId="12" borderId="1" xfId="0" applyFont="1" applyFill="1" applyBorder="1"/>
    <xf numFmtId="0" fontId="4" fillId="12" borderId="1" xfId="0" applyFont="1" applyFill="1" applyBorder="1"/>
    <xf numFmtId="0" fontId="6" fillId="12" borderId="1" xfId="0" applyFont="1" applyFill="1" applyBorder="1"/>
    <xf numFmtId="164" fontId="0" fillId="12" borderId="0" xfId="0" applyNumberFormat="1" applyFill="1"/>
    <xf numFmtId="0" fontId="0" fillId="12" borderId="0" xfId="0" applyFill="1"/>
    <xf numFmtId="164" fontId="0" fillId="0" borderId="0" xfId="0" applyNumberFormat="1" applyFill="1"/>
    <xf numFmtId="0" fontId="0" fillId="10" borderId="0" xfId="0" applyFill="1"/>
    <xf numFmtId="2" fontId="0" fillId="0" borderId="0" xfId="0" applyNumberFormat="1"/>
    <xf numFmtId="2" fontId="4" fillId="0" borderId="0" xfId="0" applyNumberFormat="1" applyFont="1"/>
    <xf numFmtId="0" fontId="4" fillId="11" borderId="0" xfId="0" applyFont="1" applyFill="1"/>
    <xf numFmtId="2" fontId="9" fillId="0" borderId="0" xfId="0" applyNumberFormat="1" applyFont="1"/>
    <xf numFmtId="165" fontId="0" fillId="0" borderId="0" xfId="0" applyNumberFormat="1" applyFont="1"/>
    <xf numFmtId="0" fontId="10" fillId="0" borderId="0" xfId="0" applyFont="1"/>
    <xf numFmtId="0" fontId="10" fillId="11" borderId="0" xfId="0" applyFont="1" applyFill="1"/>
    <xf numFmtId="0" fontId="2" fillId="14" borderId="1" xfId="0" applyFont="1" applyFill="1" applyBorder="1"/>
    <xf numFmtId="4" fontId="0" fillId="0" borderId="0" xfId="0" applyNumberFormat="1" applyFont="1"/>
    <xf numFmtId="2" fontId="1" fillId="0" borderId="0" xfId="0" applyNumberFormat="1" applyFont="1"/>
    <xf numFmtId="2" fontId="11" fillId="0" borderId="0" xfId="0" applyNumberFormat="1" applyFont="1"/>
    <xf numFmtId="0" fontId="8" fillId="0" borderId="0" xfId="0" applyFont="1"/>
    <xf numFmtId="2" fontId="0" fillId="12" borderId="0" xfId="0" applyNumberFormat="1" applyFill="1"/>
    <xf numFmtId="2" fontId="10" fillId="0" borderId="0" xfId="0" applyNumberFormat="1" applyFont="1"/>
    <xf numFmtId="2" fontId="0" fillId="0" borderId="0" xfId="0" applyNumberFormat="1" applyFill="1"/>
    <xf numFmtId="0" fontId="0" fillId="15" borderId="0" xfId="0" applyFill="1"/>
    <xf numFmtId="0" fontId="2" fillId="14" borderId="18" xfId="0" applyFont="1" applyFill="1" applyBorder="1"/>
    <xf numFmtId="2" fontId="0" fillId="7" borderId="0" xfId="0" applyNumberFormat="1" applyFill="1"/>
    <xf numFmtId="0" fontId="2" fillId="14" borderId="0" xfId="0" applyFont="1" applyFill="1" applyBorder="1"/>
    <xf numFmtId="2" fontId="4" fillId="11" borderId="0" xfId="0" applyNumberFormat="1" applyFont="1" applyFill="1"/>
    <xf numFmtId="2" fontId="0" fillId="15" borderId="0" xfId="0" applyNumberFormat="1" applyFill="1"/>
    <xf numFmtId="165" fontId="0" fillId="0" borderId="0" xfId="0" applyNumberFormat="1" applyFont="1" applyFill="1"/>
    <xf numFmtId="0" fontId="0" fillId="9" borderId="0" xfId="0" applyFill="1"/>
    <xf numFmtId="2" fontId="0" fillId="5" borderId="0" xfId="0" applyNumberFormat="1" applyFill="1" applyBorder="1"/>
    <xf numFmtId="2" fontId="0" fillId="0" borderId="0" xfId="0" applyNumberFormat="1" applyBorder="1"/>
    <xf numFmtId="167" fontId="0" fillId="0" borderId="1" xfId="0" applyNumberFormat="1" applyBorder="1"/>
    <xf numFmtId="2" fontId="1" fillId="5" borderId="1" xfId="0" applyNumberFormat="1" applyFont="1" applyFill="1" applyBorder="1"/>
    <xf numFmtId="2" fontId="0" fillId="0" borderId="1" xfId="0" applyNumberFormat="1" applyFill="1" applyBorder="1"/>
    <xf numFmtId="0" fontId="2" fillId="16" borderId="0" xfId="0" applyFont="1" applyFill="1"/>
    <xf numFmtId="0" fontId="12" fillId="0" borderId="0" xfId="0" applyFont="1" applyFill="1"/>
    <xf numFmtId="0" fontId="13" fillId="17" borderId="0" xfId="0" applyFont="1" applyFill="1"/>
    <xf numFmtId="2" fontId="13" fillId="17" borderId="0" xfId="0" applyNumberFormat="1" applyFont="1" applyFill="1"/>
    <xf numFmtId="0" fontId="14" fillId="17" borderId="0" xfId="0" applyFont="1" applyFill="1"/>
    <xf numFmtId="164" fontId="0" fillId="0" borderId="0" xfId="0" applyNumberFormat="1" applyFont="1" applyFill="1"/>
    <xf numFmtId="2" fontId="0" fillId="0" borderId="0" xfId="0" applyNumberFormat="1" applyFont="1" applyFill="1"/>
    <xf numFmtId="0" fontId="10" fillId="0" borderId="1" xfId="0" applyFont="1" applyBorder="1"/>
    <xf numFmtId="165" fontId="0" fillId="0" borderId="0" xfId="0" applyNumberFormat="1" applyFill="1"/>
    <xf numFmtId="0" fontId="0" fillId="0" borderId="0" xfId="0" applyAlignment="1">
      <alignment horizontal="center"/>
    </xf>
    <xf numFmtId="0" fontId="0" fillId="0" borderId="0" xfId="0" applyFill="1" applyBorder="1" applyAlignment="1">
      <alignment horizontal="center"/>
    </xf>
    <xf numFmtId="0" fontId="17" fillId="0" borderId="0" xfId="1" applyFont="1"/>
    <xf numFmtId="0" fontId="15" fillId="0" borderId="0" xfId="1"/>
    <xf numFmtId="0" fontId="16" fillId="0" borderId="0" xfId="1" applyFont="1"/>
    <xf numFmtId="0" fontId="0" fillId="0" borderId="0" xfId="0" applyAlignment="1">
      <alignment horizontal="left"/>
    </xf>
    <xf numFmtId="0" fontId="0" fillId="0" borderId="0" xfId="0" applyBorder="1" applyAlignment="1">
      <alignment horizontal="center"/>
    </xf>
    <xf numFmtId="0" fontId="0" fillId="0" borderId="8" xfId="0" applyBorder="1" applyAlignment="1">
      <alignment horizontal="center"/>
    </xf>
    <xf numFmtId="0" fontId="1" fillId="5" borderId="6" xfId="0" applyFont="1" applyFill="1" applyBorder="1" applyAlignment="1">
      <alignment horizontal="center"/>
    </xf>
    <xf numFmtId="0" fontId="1" fillId="5" borderId="8" xfId="0" applyFont="1" applyFill="1" applyBorder="1" applyAlignment="1">
      <alignment horizontal="center"/>
    </xf>
    <xf numFmtId="0" fontId="1" fillId="5" borderId="9" xfId="0" applyFont="1" applyFill="1" applyBorder="1" applyAlignment="1">
      <alignment horizontal="center"/>
    </xf>
    <xf numFmtId="0" fontId="0" fillId="0" borderId="10" xfId="0" applyBorder="1" applyAlignment="1">
      <alignment horizontal="center"/>
    </xf>
    <xf numFmtId="0" fontId="0" fillId="0" borderId="18" xfId="0" applyBorder="1" applyAlignment="1">
      <alignment horizontal="center"/>
    </xf>
    <xf numFmtId="3" fontId="17" fillId="0" borderId="18" xfId="1" applyNumberFormat="1" applyFont="1" applyFill="1" applyBorder="1" applyAlignment="1">
      <alignment horizontal="center"/>
    </xf>
    <xf numFmtId="0" fontId="17" fillId="0" borderId="0" xfId="1" applyFont="1" applyFill="1"/>
    <xf numFmtId="0" fontId="15" fillId="0" borderId="0" xfId="1" applyFill="1"/>
    <xf numFmtId="0" fontId="18" fillId="0" borderId="1" xfId="1" applyFont="1" applyFill="1" applyBorder="1" applyAlignment="1">
      <alignment horizontal="center"/>
    </xf>
    <xf numFmtId="0" fontId="18" fillId="0" borderId="0" xfId="1" applyFont="1" applyFill="1" applyBorder="1"/>
    <xf numFmtId="0" fontId="16" fillId="0" borderId="0" xfId="1" applyFont="1" applyFill="1"/>
    <xf numFmtId="0" fontId="18" fillId="0" borderId="8" xfId="1" applyFont="1" applyFill="1" applyBorder="1"/>
    <xf numFmtId="0" fontId="17" fillId="0" borderId="8" xfId="1" applyFont="1" applyFill="1" applyBorder="1"/>
    <xf numFmtId="0" fontId="18" fillId="0" borderId="19" xfId="1" applyFont="1" applyFill="1" applyBorder="1"/>
    <xf numFmtId="0" fontId="18" fillId="0" borderId="10" xfId="1" applyFont="1" applyFill="1" applyBorder="1" applyAlignment="1">
      <alignment horizontal="center"/>
    </xf>
    <xf numFmtId="0" fontId="18" fillId="0" borderId="4" xfId="1" applyFont="1" applyFill="1" applyBorder="1" applyAlignment="1">
      <alignment horizontal="center"/>
    </xf>
    <xf numFmtId="0" fontId="18" fillId="0" borderId="9" xfId="1" applyFont="1" applyBorder="1" applyAlignment="1">
      <alignment vertical="center"/>
    </xf>
    <xf numFmtId="0" fontId="18" fillId="0" borderId="19" xfId="1" applyFont="1" applyFill="1" applyBorder="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17" fillId="0" borderId="10" xfId="1" applyFont="1" applyBorder="1"/>
    <xf numFmtId="3" fontId="17" fillId="0" borderId="2" xfId="1" applyNumberFormat="1" applyFont="1" applyFill="1" applyBorder="1" applyAlignment="1">
      <alignment horizontal="center"/>
    </xf>
    <xf numFmtId="3" fontId="17" fillId="0" borderId="2" xfId="2" applyNumberFormat="1" applyFont="1" applyFill="1" applyBorder="1" applyAlignment="1">
      <alignment horizontal="center"/>
    </xf>
    <xf numFmtId="3" fontId="17" fillId="0" borderId="3" xfId="1" applyNumberFormat="1" applyFont="1" applyFill="1" applyBorder="1" applyAlignment="1">
      <alignment horizontal="center"/>
    </xf>
    <xf numFmtId="3" fontId="17" fillId="0" borderId="4" xfId="1" applyNumberFormat="1" applyFont="1" applyFill="1" applyBorder="1" applyAlignment="1">
      <alignment horizontal="center"/>
    </xf>
    <xf numFmtId="168" fontId="17" fillId="0" borderId="18" xfId="1" applyNumberFormat="1" applyFont="1" applyFill="1" applyBorder="1" applyAlignment="1">
      <alignment horizontal="center"/>
    </xf>
    <xf numFmtId="168" fontId="7" fillId="0" borderId="6" xfId="1" applyNumberFormat="1" applyFont="1" applyFill="1" applyBorder="1" applyAlignment="1">
      <alignment horizontal="center"/>
    </xf>
    <xf numFmtId="0" fontId="17" fillId="0" borderId="18" xfId="1" applyFont="1" applyBorder="1"/>
    <xf numFmtId="3" fontId="17" fillId="0" borderId="5" xfId="1" applyNumberFormat="1" applyFont="1" applyFill="1" applyBorder="1" applyAlignment="1">
      <alignment horizontal="center"/>
    </xf>
    <xf numFmtId="3" fontId="17" fillId="0" borderId="5" xfId="2" applyNumberFormat="1" applyFont="1" applyFill="1" applyBorder="1" applyAlignment="1">
      <alignment horizontal="center"/>
    </xf>
    <xf numFmtId="3" fontId="17" fillId="0" borderId="0" xfId="1" applyNumberFormat="1" applyFont="1" applyFill="1" applyBorder="1" applyAlignment="1">
      <alignment horizontal="center"/>
    </xf>
    <xf numFmtId="3" fontId="17" fillId="0" borderId="6" xfId="1" applyNumberFormat="1" applyFont="1" applyFill="1" applyBorder="1" applyAlignment="1">
      <alignment horizontal="center"/>
    </xf>
    <xf numFmtId="4" fontId="17" fillId="0" borderId="18" xfId="1" applyNumberFormat="1" applyFont="1" applyFill="1" applyBorder="1" applyAlignment="1">
      <alignment horizontal="center"/>
    </xf>
    <xf numFmtId="4" fontId="7" fillId="0" borderId="6" xfId="1" applyNumberFormat="1" applyFont="1" applyFill="1" applyBorder="1" applyAlignment="1">
      <alignment horizontal="center"/>
    </xf>
    <xf numFmtId="3" fontId="7" fillId="0" borderId="0" xfId="2" applyNumberFormat="1" applyFont="1" applyFill="1" applyBorder="1" applyAlignment="1">
      <alignment horizontal="center"/>
    </xf>
    <xf numFmtId="168" fontId="17" fillId="0" borderId="6" xfId="1" applyNumberFormat="1" applyFont="1" applyFill="1" applyBorder="1" applyAlignment="1">
      <alignment horizontal="center"/>
    </xf>
    <xf numFmtId="0" fontId="17" fillId="0" borderId="19" xfId="1" applyFont="1" applyBorder="1"/>
    <xf numFmtId="3" fontId="17" fillId="0" borderId="7" xfId="1" applyNumberFormat="1" applyFont="1" applyFill="1" applyBorder="1" applyAlignment="1">
      <alignment horizontal="center"/>
    </xf>
    <xf numFmtId="0" fontId="17" fillId="0" borderId="0" xfId="1" applyFont="1" applyFill="1" applyAlignment="1">
      <alignment horizontal="center"/>
    </xf>
    <xf numFmtId="0" fontId="17" fillId="0" borderId="1" xfId="1" applyFont="1" applyBorder="1"/>
    <xf numFmtId="3" fontId="18" fillId="0" borderId="29" xfId="2" applyNumberFormat="1" applyFont="1" applyFill="1" applyBorder="1" applyAlignment="1">
      <alignment horizontal="center"/>
    </xf>
    <xf numFmtId="0" fontId="17" fillId="0" borderId="9" xfId="1" applyFont="1" applyFill="1" applyBorder="1"/>
    <xf numFmtId="0" fontId="18" fillId="0" borderId="18" xfId="1" applyFont="1" applyFill="1" applyBorder="1"/>
    <xf numFmtId="0" fontId="17" fillId="0" borderId="18" xfId="1" applyFont="1" applyFill="1" applyBorder="1"/>
    <xf numFmtId="0" fontId="17" fillId="0" borderId="5" xfId="1" applyFont="1" applyFill="1" applyBorder="1"/>
    <xf numFmtId="0" fontId="17" fillId="0" borderId="6" xfId="1" applyFont="1" applyFill="1" applyBorder="1"/>
    <xf numFmtId="3" fontId="17" fillId="0" borderId="18" xfId="2" applyNumberFormat="1" applyFont="1" applyFill="1" applyBorder="1"/>
    <xf numFmtId="3" fontId="17" fillId="0" borderId="5" xfId="1" applyNumberFormat="1" applyFont="1" applyFill="1" applyBorder="1"/>
    <xf numFmtId="0" fontId="17" fillId="0" borderId="6" xfId="1" applyFont="1" applyFill="1" applyBorder="1" applyAlignment="1">
      <alignment horizontal="center"/>
    </xf>
    <xf numFmtId="4" fontId="17" fillId="0" borderId="18" xfId="2" applyNumberFormat="1" applyFont="1" applyFill="1" applyBorder="1"/>
    <xf numFmtId="0" fontId="17" fillId="0" borderId="19" xfId="1" applyFont="1" applyFill="1" applyBorder="1"/>
    <xf numFmtId="4" fontId="17" fillId="0" borderId="19" xfId="2" applyNumberFormat="1" applyFont="1" applyFill="1" applyBorder="1"/>
    <xf numFmtId="4" fontId="17" fillId="0" borderId="19" xfId="1" applyNumberFormat="1" applyFont="1" applyFill="1" applyBorder="1" applyAlignment="1">
      <alignment horizontal="center"/>
    </xf>
    <xf numFmtId="0" fontId="17" fillId="0" borderId="9" xfId="1" applyFont="1" applyFill="1" applyBorder="1" applyAlignment="1">
      <alignment horizontal="center"/>
    </xf>
    <xf numFmtId="4" fontId="17" fillId="0" borderId="10" xfId="2" applyFont="1" applyFill="1" applyBorder="1"/>
    <xf numFmtId="0" fontId="17" fillId="0" borderId="10" xfId="1" applyFont="1" applyFill="1" applyBorder="1"/>
    <xf numFmtId="0" fontId="17" fillId="0" borderId="2" xfId="1" applyFont="1" applyFill="1" applyBorder="1"/>
    <xf numFmtId="0" fontId="17" fillId="0" borderId="4" xfId="1" applyFont="1" applyFill="1" applyBorder="1" applyAlignment="1">
      <alignment horizontal="center"/>
    </xf>
    <xf numFmtId="3" fontId="17" fillId="0" borderId="18" xfId="2" applyNumberFormat="1" applyFont="1" applyFill="1" applyBorder="1" applyAlignment="1">
      <alignment horizontal="right"/>
    </xf>
    <xf numFmtId="3" fontId="17" fillId="0" borderId="18" xfId="1" applyNumberFormat="1" applyFont="1" applyFill="1" applyBorder="1"/>
    <xf numFmtId="1" fontId="15" fillId="0" borderId="0" xfId="1" applyNumberFormat="1" applyFill="1"/>
    <xf numFmtId="4" fontId="17" fillId="0" borderId="18" xfId="2" applyNumberFormat="1" applyFont="1" applyFill="1" applyBorder="1" applyAlignment="1">
      <alignment horizontal="right"/>
    </xf>
    <xf numFmtId="4" fontId="17" fillId="0" borderId="19" xfId="2" applyNumberFormat="1" applyFont="1" applyFill="1" applyBorder="1" applyAlignment="1">
      <alignment horizontal="right"/>
    </xf>
    <xf numFmtId="3" fontId="17" fillId="0" borderId="19" xfId="1" applyNumberFormat="1" applyFont="1" applyFill="1" applyBorder="1" applyAlignment="1">
      <alignment horizontal="center"/>
    </xf>
    <xf numFmtId="3" fontId="17" fillId="0" borderId="19" xfId="2" applyNumberFormat="1" applyFont="1" applyFill="1" applyBorder="1"/>
    <xf numFmtId="3" fontId="17" fillId="0" borderId="7" xfId="1" applyNumberFormat="1" applyFont="1" applyFill="1" applyBorder="1"/>
    <xf numFmtId="0" fontId="0" fillId="0" borderId="0" xfId="0" applyFont="1" applyBorder="1" applyAlignment="1">
      <alignment horizontal="center"/>
    </xf>
    <xf numFmtId="0" fontId="0" fillId="5" borderId="11" xfId="0" applyFill="1" applyBorder="1"/>
    <xf numFmtId="0" fontId="0" fillId="5" borderId="12" xfId="0" applyFill="1" applyBorder="1"/>
    <xf numFmtId="0" fontId="0" fillId="5" borderId="32" xfId="0" applyFill="1" applyBorder="1"/>
    <xf numFmtId="0" fontId="1" fillId="5" borderId="34" xfId="0" applyFont="1" applyFill="1" applyBorder="1" applyAlignment="1">
      <alignment horizontal="center"/>
    </xf>
    <xf numFmtId="0" fontId="0" fillId="0" borderId="39" xfId="0" applyBorder="1" applyAlignment="1">
      <alignment horizontal="center"/>
    </xf>
    <xf numFmtId="0" fontId="0" fillId="0" borderId="40" xfId="0" applyFont="1" applyBorder="1" applyAlignment="1">
      <alignment horizontal="center"/>
    </xf>
    <xf numFmtId="0" fontId="0" fillId="0" borderId="16" xfId="0" applyFont="1" applyBorder="1" applyAlignment="1">
      <alignment horizontal="center"/>
    </xf>
    <xf numFmtId="0" fontId="0" fillId="0" borderId="41" xfId="0" applyFont="1" applyBorder="1" applyAlignment="1">
      <alignment horizontal="center"/>
    </xf>
    <xf numFmtId="2" fontId="0" fillId="0" borderId="0" xfId="0" applyNumberFormat="1" applyFont="1" applyFill="1" applyBorder="1" applyAlignment="1">
      <alignment horizontal="center"/>
    </xf>
    <xf numFmtId="0" fontId="1" fillId="0" borderId="38" xfId="0" applyFont="1" applyBorder="1"/>
    <xf numFmtId="0" fontId="1" fillId="0" borderId="39" xfId="0" applyFont="1" applyBorder="1"/>
    <xf numFmtId="0" fontId="0" fillId="0" borderId="1" xfId="0" applyBorder="1" applyAlignment="1">
      <alignment horizontal="center"/>
    </xf>
    <xf numFmtId="164" fontId="17" fillId="0" borderId="0" xfId="1" applyNumberFormat="1" applyFont="1" applyFill="1" applyBorder="1" applyAlignment="1">
      <alignment horizontal="center"/>
    </xf>
    <xf numFmtId="0" fontId="0" fillId="0" borderId="0" xfId="0" applyFill="1" applyBorder="1" applyAlignment="1"/>
    <xf numFmtId="0" fontId="1" fillId="19" borderId="0" xfId="0" applyFont="1" applyFill="1" applyAlignment="1">
      <alignment horizontal="center"/>
    </xf>
    <xf numFmtId="3" fontId="18" fillId="19" borderId="29" xfId="1" applyNumberFormat="1" applyFont="1" applyFill="1" applyBorder="1" applyAlignment="1">
      <alignment horizontal="center"/>
    </xf>
    <xf numFmtId="3" fontId="18" fillId="19" borderId="31" xfId="1" applyNumberFormat="1" applyFont="1" applyFill="1" applyBorder="1" applyAlignment="1">
      <alignment horizontal="center"/>
    </xf>
    <xf numFmtId="3" fontId="18" fillId="19" borderId="30" xfId="1" applyNumberFormat="1" applyFont="1" applyFill="1" applyBorder="1" applyAlignment="1">
      <alignment horizontal="center"/>
    </xf>
    <xf numFmtId="168" fontId="18" fillId="19" borderId="29" xfId="2" applyNumberFormat="1" applyFont="1" applyFill="1" applyBorder="1" applyAlignment="1">
      <alignment horizontal="center"/>
    </xf>
    <xf numFmtId="168" fontId="18" fillId="19" borderId="1" xfId="2" applyNumberFormat="1" applyFont="1" applyFill="1" applyBorder="1" applyAlignment="1">
      <alignment horizontal="center"/>
    </xf>
    <xf numFmtId="0" fontId="1" fillId="0" borderId="29" xfId="0" applyFont="1"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0" fillId="0" borderId="31" xfId="0" applyBorder="1" applyAlignment="1">
      <alignment horizontal="center"/>
    </xf>
    <xf numFmtId="0" fontId="0" fillId="0" borderId="30"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29" xfId="0" applyBorder="1" applyAlignment="1">
      <alignment horizontal="center"/>
    </xf>
    <xf numFmtId="0" fontId="0" fillId="0" borderId="19" xfId="0" applyBorder="1" applyAlignment="1">
      <alignment horizontal="center"/>
    </xf>
    <xf numFmtId="0" fontId="0" fillId="0" borderId="3" xfId="0" applyBorder="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18" fillId="0" borderId="0" xfId="1" applyFont="1" applyFill="1" applyAlignment="1">
      <alignment horizontal="center"/>
    </xf>
    <xf numFmtId="0" fontId="0" fillId="0" borderId="0" xfId="0" applyFont="1" applyAlignment="1">
      <alignment horizontal="center"/>
    </xf>
    <xf numFmtId="0" fontId="0" fillId="0" borderId="0" xfId="0" applyFill="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17" fillId="0" borderId="0" xfId="1" applyFont="1" applyFill="1" applyBorder="1"/>
    <xf numFmtId="0" fontId="18" fillId="0" borderId="7" xfId="1" applyFont="1" applyFill="1" applyBorder="1" applyAlignment="1">
      <alignment horizontal="center"/>
    </xf>
    <xf numFmtId="0" fontId="18" fillId="0" borderId="9" xfId="1" applyFont="1" applyFill="1" applyBorder="1" applyAlignment="1">
      <alignment horizontal="center"/>
    </xf>
    <xf numFmtId="0" fontId="0" fillId="0" borderId="0" xfId="0" applyFont="1" applyFill="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1" fillId="0" borderId="0" xfId="0" applyFont="1" applyAlignment="1">
      <alignment horizontal="center"/>
    </xf>
    <xf numFmtId="1" fontId="1" fillId="0" borderId="30" xfId="0" applyNumberFormat="1" applyFont="1" applyBorder="1" applyAlignment="1">
      <alignment horizontal="center"/>
    </xf>
    <xf numFmtId="0" fontId="1" fillId="0" borderId="2" xfId="0" applyFont="1" applyBorder="1" applyAlignment="1">
      <alignment horizontal="center"/>
    </xf>
    <xf numFmtId="2" fontId="0" fillId="0" borderId="0" xfId="0" applyNumberFormat="1"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applyFont="1" applyAlignment="1">
      <alignment horizontal="left"/>
    </xf>
    <xf numFmtId="1" fontId="0" fillId="0" borderId="0" xfId="0" applyNumberFormat="1"/>
    <xf numFmtId="1" fontId="1" fillId="0" borderId="0" xfId="0" applyNumberFormat="1" applyFont="1"/>
    <xf numFmtId="0" fontId="23" fillId="0" borderId="0" xfId="0" applyFont="1" applyBorder="1" applyAlignment="1">
      <alignment horizontal="center" vertical="top"/>
    </xf>
    <xf numFmtId="0" fontId="23" fillId="0" borderId="0" xfId="0" applyFont="1" applyBorder="1" applyAlignment="1">
      <alignment horizontal="center" vertical="top" wrapText="1"/>
    </xf>
    <xf numFmtId="0" fontId="1" fillId="5" borderId="0" xfId="0" applyFont="1" applyFill="1" applyBorder="1" applyAlignment="1">
      <alignment horizontal="center"/>
    </xf>
    <xf numFmtId="0" fontId="1" fillId="5" borderId="29" xfId="0" applyFont="1" applyFill="1" applyBorder="1" applyAlignment="1">
      <alignment horizontal="center"/>
    </xf>
    <xf numFmtId="0" fontId="1" fillId="5" borderId="1" xfId="0" applyFont="1" applyFill="1" applyBorder="1" applyAlignment="1">
      <alignment horizontal="center"/>
    </xf>
    <xf numFmtId="166" fontId="0" fillId="0" borderId="0" xfId="0" applyNumberFormat="1" applyFont="1" applyFill="1"/>
    <xf numFmtId="165" fontId="4" fillId="0" borderId="0" xfId="0" applyNumberFormat="1" applyFont="1"/>
    <xf numFmtId="166" fontId="4" fillId="0" borderId="0" xfId="0" applyNumberFormat="1" applyFont="1"/>
    <xf numFmtId="0" fontId="1" fillId="0" borderId="0" xfId="0" applyFont="1" applyFill="1"/>
    <xf numFmtId="0" fontId="0" fillId="0" borderId="7" xfId="0" applyFont="1" applyFill="1" applyBorder="1" applyAlignment="1">
      <alignment horizontal="center"/>
    </xf>
    <xf numFmtId="0" fontId="0" fillId="0" borderId="8" xfId="0" applyFont="1" applyFill="1" applyBorder="1" applyAlignment="1">
      <alignment horizontal="center"/>
    </xf>
    <xf numFmtId="0" fontId="0" fillId="0" borderId="9" xfId="0" applyFont="1" applyFill="1" applyBorder="1" applyAlignment="1">
      <alignment horizontal="center"/>
    </xf>
    <xf numFmtId="0" fontId="1" fillId="5" borderId="30" xfId="0" applyFont="1" applyFill="1" applyBorder="1" applyAlignment="1">
      <alignment horizontal="center"/>
    </xf>
    <xf numFmtId="1" fontId="0" fillId="11" borderId="0" xfId="0" applyNumberFormat="1" applyFill="1"/>
    <xf numFmtId="0" fontId="0" fillId="11" borderId="0" xfId="0" quotePrefix="1" applyFill="1"/>
    <xf numFmtId="0" fontId="0" fillId="22" borderId="0" xfId="0" applyFill="1"/>
    <xf numFmtId="0" fontId="1" fillId="5" borderId="14" xfId="0" applyFont="1" applyFill="1" applyBorder="1" applyAlignment="1">
      <alignment horizontal="center" wrapText="1"/>
    </xf>
    <xf numFmtId="0" fontId="1" fillId="0" borderId="35" xfId="0" applyFont="1" applyFill="1" applyBorder="1"/>
    <xf numFmtId="0" fontId="1" fillId="0" borderId="10" xfId="0" applyFont="1" applyFill="1" applyBorder="1"/>
    <xf numFmtId="1" fontId="0" fillId="0" borderId="10" xfId="0" applyNumberFormat="1" applyFill="1" applyBorder="1" applyAlignment="1">
      <alignment horizontal="center"/>
    </xf>
    <xf numFmtId="1" fontId="0" fillId="0" borderId="2" xfId="0" applyNumberFormat="1" applyFont="1" applyFill="1" applyBorder="1" applyAlignment="1">
      <alignment horizontal="center"/>
    </xf>
    <xf numFmtId="1" fontId="0" fillId="0" borderId="3" xfId="0" applyNumberFormat="1" applyFont="1" applyFill="1" applyBorder="1" applyAlignment="1">
      <alignment horizontal="center"/>
    </xf>
    <xf numFmtId="1" fontId="0" fillId="0" borderId="4" xfId="0" applyNumberFormat="1" applyFont="1" applyFill="1" applyBorder="1" applyAlignment="1">
      <alignment horizontal="center"/>
    </xf>
    <xf numFmtId="1" fontId="0" fillId="0" borderId="3" xfId="0" applyNumberFormat="1" applyFill="1" applyBorder="1" applyAlignment="1">
      <alignment horizontal="center"/>
    </xf>
    <xf numFmtId="164" fontId="0" fillId="0" borderId="5" xfId="0" applyNumberFormat="1" applyFont="1" applyFill="1" applyBorder="1" applyAlignment="1">
      <alignment horizontal="center"/>
    </xf>
    <xf numFmtId="164" fontId="0" fillId="0" borderId="0" xfId="0" applyNumberFormat="1" applyFont="1" applyFill="1" applyBorder="1" applyAlignment="1">
      <alignment horizontal="center"/>
    </xf>
    <xf numFmtId="164" fontId="0" fillId="0" borderId="6"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6" xfId="0" applyNumberFormat="1" applyFill="1" applyBorder="1" applyAlignment="1">
      <alignment horizontal="center"/>
    </xf>
    <xf numFmtId="0" fontId="1" fillId="0" borderId="37" xfId="0" applyFont="1" applyFill="1" applyBorder="1"/>
    <xf numFmtId="1" fontId="0" fillId="0" borderId="18" xfId="0" applyNumberFormat="1" applyFill="1" applyBorder="1" applyAlignment="1">
      <alignment horizontal="center"/>
    </xf>
    <xf numFmtId="1" fontId="0" fillId="0" borderId="5" xfId="0" applyNumberFormat="1" applyFont="1" applyFill="1" applyBorder="1" applyAlignment="1">
      <alignment horizontal="center"/>
    </xf>
    <xf numFmtId="1" fontId="0" fillId="0" borderId="0" xfId="0" applyNumberFormat="1" applyFont="1" applyFill="1" applyBorder="1" applyAlignment="1">
      <alignment horizontal="center"/>
    </xf>
    <xf numFmtId="1" fontId="0" fillId="0" borderId="6" xfId="0" applyNumberFormat="1" applyFont="1" applyFill="1" applyBorder="1" applyAlignment="1">
      <alignment horizontal="center"/>
    </xf>
    <xf numFmtId="1" fontId="0" fillId="0" borderId="0" xfId="0" applyNumberFormat="1" applyFill="1" applyBorder="1" applyAlignment="1">
      <alignment horizontal="center"/>
    </xf>
    <xf numFmtId="0" fontId="2" fillId="22" borderId="0" xfId="0" applyFont="1" applyFill="1"/>
    <xf numFmtId="0" fontId="0" fillId="23" borderId="0" xfId="0" applyFill="1"/>
    <xf numFmtId="2" fontId="0" fillId="23" borderId="0" xfId="0" applyNumberFormat="1" applyFill="1"/>
    <xf numFmtId="0" fontId="2" fillId="23" borderId="0" xfId="0" applyFont="1" applyFill="1"/>
    <xf numFmtId="1" fontId="8" fillId="21" borderId="0" xfId="0" applyNumberFormat="1" applyFont="1" applyFill="1"/>
    <xf numFmtId="1" fontId="0" fillId="21" borderId="0" xfId="0" applyNumberFormat="1" applyFill="1"/>
    <xf numFmtId="0" fontId="8" fillId="0" borderId="1" xfId="0" applyFont="1" applyFill="1" applyBorder="1"/>
    <xf numFmtId="0" fontId="2" fillId="16" borderId="0" xfId="0" applyFont="1" applyFill="1" applyBorder="1" applyAlignment="1">
      <alignment horizontal="center"/>
    </xf>
    <xf numFmtId="0" fontId="0" fillId="16" borderId="0" xfId="0" applyFill="1"/>
    <xf numFmtId="0" fontId="1" fillId="3" borderId="0" xfId="0" applyFont="1" applyFill="1" applyBorder="1"/>
    <xf numFmtId="164" fontId="10" fillId="0" borderId="6" xfId="0" applyNumberFormat="1" applyFont="1" applyFill="1" applyBorder="1" applyAlignment="1">
      <alignment horizontal="center"/>
    </xf>
    <xf numFmtId="0" fontId="1" fillId="0" borderId="0" xfId="0" applyFont="1" applyFill="1" applyBorder="1"/>
    <xf numFmtId="0" fontId="0" fillId="24" borderId="0" xfId="0" applyFill="1"/>
    <xf numFmtId="0" fontId="1" fillId="0" borderId="56" xfId="0" applyFont="1" applyBorder="1" applyAlignment="1">
      <alignment horizontal="center"/>
    </xf>
    <xf numFmtId="0" fontId="22" fillId="0" borderId="0" xfId="0" applyFont="1"/>
    <xf numFmtId="0" fontId="0" fillId="0" borderId="0" xfId="0" applyFont="1" applyBorder="1"/>
    <xf numFmtId="0" fontId="0" fillId="0" borderId="0" xfId="0" applyFont="1" applyFill="1" applyBorder="1"/>
    <xf numFmtId="0" fontId="0" fillId="0" borderId="0" xfId="0" applyFont="1" applyFill="1" applyBorder="1" applyAlignment="1">
      <alignment horizontal="left"/>
    </xf>
    <xf numFmtId="0" fontId="1" fillId="0" borderId="0" xfId="0" applyFont="1" applyFill="1" applyBorder="1" applyAlignment="1"/>
    <xf numFmtId="0" fontId="24" fillId="0" borderId="0" xfId="0" applyFont="1" applyFill="1" applyBorder="1" applyAlignment="1">
      <alignment horizontal="center"/>
    </xf>
    <xf numFmtId="0" fontId="25" fillId="0" borderId="0" xfId="0" applyFont="1" applyFill="1" applyBorder="1" applyAlignment="1">
      <alignment horizontal="center"/>
    </xf>
    <xf numFmtId="9" fontId="0" fillId="0" borderId="1" xfId="0" applyNumberFormat="1" applyBorder="1"/>
    <xf numFmtId="0" fontId="0" fillId="24" borderId="8" xfId="0" applyFill="1" applyBorder="1"/>
    <xf numFmtId="164" fontId="0" fillId="0" borderId="1" xfId="0" applyNumberFormat="1" applyBorder="1"/>
    <xf numFmtId="0" fontId="0" fillId="0" borderId="29" xfId="0" applyBorder="1"/>
    <xf numFmtId="0" fontId="0" fillId="0" borderId="0" xfId="0"/>
    <xf numFmtId="0" fontId="0" fillId="0" borderId="0" xfId="0" applyBorder="1" applyAlignment="1">
      <alignment horizontal="center"/>
    </xf>
    <xf numFmtId="0" fontId="0" fillId="0" borderId="0" xfId="0" applyBorder="1"/>
    <xf numFmtId="0" fontId="0" fillId="0" borderId="1" xfId="0" applyBorder="1"/>
    <xf numFmtId="0" fontId="0" fillId="0" borderId="0" xfId="0" applyFill="1" applyBorder="1"/>
    <xf numFmtId="0" fontId="0" fillId="0" borderId="0" xfId="0" applyFont="1" applyFill="1" applyBorder="1" applyAlignment="1">
      <alignment horizont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0" fontId="0" fillId="0" borderId="0" xfId="0" applyFill="1" applyAlignment="1">
      <alignment horizontal="center" vertical="center"/>
    </xf>
    <xf numFmtId="0" fontId="0" fillId="0" borderId="1" xfId="0" applyFont="1" applyFill="1" applyBorder="1"/>
    <xf numFmtId="0" fontId="0" fillId="0" borderId="11" xfId="0" applyFont="1" applyFill="1" applyBorder="1"/>
    <xf numFmtId="0" fontId="0" fillId="0" borderId="12" xfId="0" applyFont="1" applyFill="1" applyBorder="1"/>
    <xf numFmtId="0" fontId="0" fillId="0" borderId="16" xfId="0" applyFont="1" applyFill="1" applyBorder="1"/>
    <xf numFmtId="0" fontId="0" fillId="0" borderId="7" xfId="0" applyFont="1" applyBorder="1"/>
    <xf numFmtId="0" fontId="0" fillId="0" borderId="8" xfId="0" applyFont="1" applyBorder="1"/>
    <xf numFmtId="0" fontId="0" fillId="0" borderId="9" xfId="0" applyFont="1" applyBorder="1"/>
    <xf numFmtId="0" fontId="0" fillId="0" borderId="1" xfId="0" applyFont="1" applyBorder="1"/>
    <xf numFmtId="0" fontId="0" fillId="0" borderId="4" xfId="0" applyFont="1" applyFill="1" applyBorder="1"/>
    <xf numFmtId="0" fontId="0" fillId="0" borderId="9" xfId="0" applyFont="1" applyFill="1" applyBorder="1"/>
    <xf numFmtId="0" fontId="19" fillId="0" borderId="0" xfId="0" applyFont="1"/>
    <xf numFmtId="0" fontId="29" fillId="0" borderId="0" xfId="1" applyFont="1" applyProtection="1"/>
    <xf numFmtId="0" fontId="31" fillId="0" borderId="0" xfId="1" applyFont="1" applyProtection="1"/>
    <xf numFmtId="0" fontId="30" fillId="0" borderId="1" xfId="1" applyFont="1" applyBorder="1" applyAlignment="1" applyProtection="1">
      <alignment horizontal="center"/>
    </xf>
    <xf numFmtId="0" fontId="30" fillId="0" borderId="20" xfId="1" applyFont="1" applyBorder="1" applyProtection="1"/>
    <xf numFmtId="0" fontId="30" fillId="0" borderId="23" xfId="1" applyFont="1" applyBorder="1" applyProtection="1"/>
    <xf numFmtId="0" fontId="30" fillId="0" borderId="26" xfId="1" applyFont="1" applyBorder="1" applyProtection="1"/>
    <xf numFmtId="0" fontId="30" fillId="0" borderId="10" xfId="1" applyFont="1" applyBorder="1" applyAlignment="1" applyProtection="1">
      <alignment horizontal="center"/>
    </xf>
    <xf numFmtId="0" fontId="30" fillId="0" borderId="4" xfId="1" applyFont="1" applyBorder="1" applyAlignment="1" applyProtection="1">
      <alignment horizontal="center"/>
    </xf>
    <xf numFmtId="0" fontId="30" fillId="0" borderId="19" xfId="1" applyFont="1" applyBorder="1" applyAlignment="1" applyProtection="1">
      <alignment horizontal="center"/>
    </xf>
    <xf numFmtId="2" fontId="30" fillId="0" borderId="9" xfId="1" applyNumberFormat="1" applyFont="1" applyBorder="1" applyAlignment="1" applyProtection="1">
      <alignment horizontal="center"/>
    </xf>
    <xf numFmtId="3" fontId="31" fillId="0" borderId="22" xfId="2" applyNumberFormat="1" applyFont="1" applyBorder="1" applyProtection="1"/>
    <xf numFmtId="3" fontId="31" fillId="0" borderId="25" xfId="2" applyNumberFormat="1" applyFont="1" applyBorder="1" applyProtection="1"/>
    <xf numFmtId="2" fontId="31" fillId="0" borderId="0" xfId="1" applyNumberFormat="1" applyFont="1" applyProtection="1"/>
    <xf numFmtId="0" fontId="30" fillId="0" borderId="18" xfId="1" applyFont="1" applyBorder="1" applyAlignment="1" applyProtection="1">
      <alignment horizontal="center"/>
    </xf>
    <xf numFmtId="0" fontId="30" fillId="30" borderId="0" xfId="1" applyFont="1" applyFill="1" applyProtection="1"/>
    <xf numFmtId="0" fontId="0" fillId="30" borderId="0" xfId="0" applyFont="1" applyFill="1" applyAlignment="1">
      <alignment horizontal="center"/>
    </xf>
    <xf numFmtId="0" fontId="1" fillId="30" borderId="2" xfId="0" applyFont="1" applyFill="1" applyBorder="1" applyAlignment="1">
      <alignment horizontal="center"/>
    </xf>
    <xf numFmtId="0" fontId="1" fillId="30" borderId="5" xfId="0" applyFont="1" applyFill="1" applyBorder="1" applyAlignment="1">
      <alignment horizontal="center"/>
    </xf>
    <xf numFmtId="0" fontId="1" fillId="30" borderId="6" xfId="0" applyFont="1" applyFill="1" applyBorder="1" applyAlignment="1">
      <alignment horizontal="center"/>
    </xf>
    <xf numFmtId="0" fontId="1" fillId="30" borderId="8" xfId="0" applyFont="1" applyFill="1" applyBorder="1" applyAlignment="1">
      <alignment horizontal="center"/>
    </xf>
    <xf numFmtId="3" fontId="0" fillId="0" borderId="0" xfId="0" applyNumberFormat="1" applyFont="1" applyFill="1" applyBorder="1" applyAlignment="1">
      <alignment horizontal="center"/>
    </xf>
    <xf numFmtId="0" fontId="12" fillId="0" borderId="0" xfId="0" applyFont="1" applyFill="1" applyBorder="1" applyAlignment="1">
      <alignment horizontal="center"/>
    </xf>
    <xf numFmtId="0" fontId="0" fillId="25" borderId="62" xfId="0" applyFont="1" applyFill="1" applyBorder="1"/>
    <xf numFmtId="0" fontId="0" fillId="25" borderId="63" xfId="0" applyFont="1" applyFill="1" applyBorder="1"/>
    <xf numFmtId="0" fontId="0" fillId="25" borderId="64" xfId="0" applyFont="1" applyFill="1" applyBorder="1" applyAlignment="1">
      <alignment horizontal="left"/>
    </xf>
    <xf numFmtId="0" fontId="0" fillId="25" borderId="65" xfId="0" applyFont="1" applyFill="1" applyBorder="1" applyAlignment="1">
      <alignment horizontal="left"/>
    </xf>
    <xf numFmtId="0" fontId="0" fillId="25" borderId="66" xfId="0" applyFont="1" applyFill="1" applyBorder="1" applyAlignment="1">
      <alignment horizontal="left"/>
    </xf>
    <xf numFmtId="0" fontId="0" fillId="25" borderId="61" xfId="0" applyFont="1" applyFill="1" applyBorder="1" applyAlignment="1">
      <alignment horizontal="left"/>
    </xf>
    <xf numFmtId="1" fontId="0" fillId="0" borderId="0" xfId="0" applyNumberFormat="1" applyFont="1"/>
    <xf numFmtId="1" fontId="0" fillId="20" borderId="58" xfId="0" applyNumberFormat="1" applyFont="1" applyFill="1" applyBorder="1" applyAlignment="1">
      <alignment horizontal="center"/>
    </xf>
    <xf numFmtId="9" fontId="0" fillId="0" borderId="58" xfId="0" applyNumberFormat="1" applyFont="1" applyBorder="1" applyAlignment="1">
      <alignment horizontal="center"/>
    </xf>
    <xf numFmtId="0" fontId="10" fillId="0" borderId="0" xfId="0" applyFont="1" applyFill="1"/>
    <xf numFmtId="0" fontId="34" fillId="0" borderId="0" xfId="0" applyFont="1" applyFill="1"/>
    <xf numFmtId="0" fontId="34" fillId="4" borderId="1" xfId="0" applyFont="1" applyFill="1" applyBorder="1" applyAlignment="1">
      <alignment horizontal="center"/>
    </xf>
    <xf numFmtId="0" fontId="34" fillId="4" borderId="5" xfId="0" applyFont="1" applyFill="1" applyBorder="1" applyAlignment="1">
      <alignment horizontal="center"/>
    </xf>
    <xf numFmtId="0" fontId="34" fillId="4" borderId="6" xfId="0" applyFont="1" applyFill="1" applyBorder="1" applyAlignment="1">
      <alignment horizontal="center"/>
    </xf>
    <xf numFmtId="0" fontId="0" fillId="4" borderId="10" xfId="0" applyFont="1" applyFill="1" applyBorder="1"/>
    <xf numFmtId="0" fontId="34" fillId="4" borderId="18" xfId="0" applyFont="1" applyFill="1" applyBorder="1" applyAlignment="1">
      <alignment horizontal="center"/>
    </xf>
    <xf numFmtId="0" fontId="0" fillId="4" borderId="18" xfId="0" applyFont="1" applyFill="1" applyBorder="1"/>
    <xf numFmtId="0" fontId="0" fillId="0" borderId="19" xfId="0" applyFont="1" applyBorder="1"/>
    <xf numFmtId="0" fontId="37" fillId="4" borderId="4" xfId="0" applyFont="1" applyFill="1" applyBorder="1"/>
    <xf numFmtId="0" fontId="35" fillId="0" borderId="2" xfId="0" applyFont="1" applyFill="1" applyBorder="1" applyAlignment="1">
      <alignment horizontal="center" vertical="center"/>
    </xf>
    <xf numFmtId="1" fontId="38" fillId="0" borderId="2" xfId="0" applyNumberFormat="1" applyFont="1" applyFill="1" applyBorder="1" applyAlignment="1">
      <alignment horizontal="center" vertical="center"/>
    </xf>
    <xf numFmtId="164" fontId="38" fillId="0" borderId="2" xfId="0" applyNumberFormat="1" applyFont="1" applyFill="1" applyBorder="1" applyAlignment="1">
      <alignment horizontal="center" vertical="center"/>
    </xf>
    <xf numFmtId="0" fontId="35" fillId="0" borderId="19" xfId="0" applyFont="1" applyFill="1" applyBorder="1" applyAlignment="1">
      <alignment horizontal="center" vertical="center"/>
    </xf>
    <xf numFmtId="1" fontId="38" fillId="0" borderId="7" xfId="0" applyNumberFormat="1" applyFont="1" applyFill="1" applyBorder="1" applyAlignment="1">
      <alignment horizontal="center" vertical="center"/>
    </xf>
    <xf numFmtId="164" fontId="38" fillId="0" borderId="7" xfId="0" applyNumberFormat="1" applyFont="1" applyFill="1" applyBorder="1" applyAlignment="1">
      <alignment horizontal="center" vertical="center"/>
    </xf>
    <xf numFmtId="0" fontId="35" fillId="0" borderId="10" xfId="0" applyFont="1" applyFill="1" applyBorder="1" applyAlignment="1">
      <alignment horizontal="center" vertical="center" wrapText="1"/>
    </xf>
    <xf numFmtId="0" fontId="2" fillId="29" borderId="0" xfId="0" applyFont="1" applyFill="1" applyBorder="1"/>
    <xf numFmtId="0" fontId="2" fillId="29" borderId="0" xfId="0" applyFont="1" applyFill="1" applyBorder="1" applyAlignment="1">
      <alignment horizontal="left"/>
    </xf>
    <xf numFmtId="0" fontId="2" fillId="29" borderId="0" xfId="0" applyFont="1" applyFill="1" applyBorder="1" applyAlignment="1">
      <alignment horizontal="center"/>
    </xf>
    <xf numFmtId="1" fontId="2" fillId="29" borderId="0" xfId="0" applyNumberFormat="1" applyFont="1" applyFill="1" applyBorder="1" applyAlignment="1">
      <alignment horizontal="center"/>
    </xf>
    <xf numFmtId="49" fontId="2" fillId="29" borderId="0" xfId="0" applyNumberFormat="1" applyFont="1" applyFill="1" applyBorder="1" applyAlignment="1">
      <alignment horizontal="center"/>
    </xf>
    <xf numFmtId="0" fontId="35" fillId="0" borderId="18" xfId="0" applyFont="1" applyFill="1" applyBorder="1" applyAlignment="1">
      <alignment horizontal="center" vertical="center"/>
    </xf>
    <xf numFmtId="0" fontId="35" fillId="0" borderId="0" xfId="0" applyFont="1" applyFill="1" applyBorder="1" applyAlignment="1">
      <alignment horizontal="center" vertical="center"/>
    </xf>
    <xf numFmtId="1" fontId="38" fillId="0" borderId="5" xfId="0" applyNumberFormat="1" applyFont="1" applyFill="1" applyBorder="1" applyAlignment="1">
      <alignment horizontal="center" vertical="center"/>
    </xf>
    <xf numFmtId="0" fontId="38" fillId="0" borderId="18" xfId="0" applyFont="1" applyBorder="1" applyAlignment="1">
      <alignment horizontal="center" vertical="center"/>
    </xf>
    <xf numFmtId="164" fontId="38" fillId="0" borderId="5" xfId="0" applyNumberFormat="1" applyFont="1" applyFill="1" applyBorder="1" applyAlignment="1">
      <alignment horizontal="center" vertical="center"/>
    </xf>
    <xf numFmtId="0" fontId="35" fillId="0" borderId="5" xfId="0" applyFont="1" applyFill="1" applyBorder="1" applyAlignment="1">
      <alignment horizontal="center" vertical="center"/>
    </xf>
    <xf numFmtId="0" fontId="35" fillId="0" borderId="6" xfId="0" applyFont="1" applyFill="1" applyBorder="1" applyAlignment="1">
      <alignment horizontal="center" vertical="center"/>
    </xf>
    <xf numFmtId="0" fontId="35" fillId="0" borderId="7" xfId="0" applyFont="1" applyFill="1" applyBorder="1" applyAlignment="1">
      <alignment horizontal="center" vertical="center"/>
    </xf>
    <xf numFmtId="0" fontId="35" fillId="0" borderId="10" xfId="0" applyFont="1" applyFill="1" applyBorder="1" applyAlignment="1">
      <alignment horizontal="center" vertical="center"/>
    </xf>
    <xf numFmtId="0" fontId="0" fillId="0" borderId="19" xfId="0" applyFill="1" applyBorder="1"/>
    <xf numFmtId="0" fontId="35" fillId="0" borderId="10" xfId="0" applyFont="1" applyBorder="1" applyAlignment="1">
      <alignment horizontal="center" vertical="center"/>
    </xf>
    <xf numFmtId="1" fontId="38" fillId="0" borderId="10" xfId="0" applyNumberFormat="1" applyFont="1" applyFill="1" applyBorder="1" applyAlignment="1">
      <alignment horizontal="center" vertical="center"/>
    </xf>
    <xf numFmtId="1" fontId="38" fillId="0" borderId="3" xfId="0" applyNumberFormat="1" applyFont="1" applyFill="1" applyBorder="1" applyAlignment="1">
      <alignment horizontal="center" vertical="center"/>
    </xf>
    <xf numFmtId="0" fontId="38" fillId="0" borderId="3" xfId="0" applyFont="1" applyFill="1" applyBorder="1" applyAlignment="1">
      <alignment horizontal="center" vertical="center"/>
    </xf>
    <xf numFmtId="1" fontId="38" fillId="0" borderId="18" xfId="0" applyNumberFormat="1" applyFont="1" applyFill="1" applyBorder="1" applyAlignment="1">
      <alignment horizontal="center" vertical="center"/>
    </xf>
    <xf numFmtId="1" fontId="38" fillId="0" borderId="0" xfId="0" applyNumberFormat="1" applyFont="1" applyFill="1" applyBorder="1" applyAlignment="1">
      <alignment horizontal="center" vertical="center"/>
    </xf>
    <xf numFmtId="0" fontId="38" fillId="0" borderId="0" xfId="0" applyFont="1" applyFill="1" applyBorder="1" applyAlignment="1">
      <alignment horizontal="center" vertical="center"/>
    </xf>
    <xf numFmtId="1" fontId="38" fillId="0" borderId="19" xfId="0" applyNumberFormat="1" applyFont="1" applyFill="1" applyBorder="1" applyAlignment="1">
      <alignment horizontal="center" vertical="center"/>
    </xf>
    <xf numFmtId="1" fontId="38" fillId="0" borderId="8" xfId="0" applyNumberFormat="1" applyFont="1" applyFill="1" applyBorder="1" applyAlignment="1">
      <alignment horizontal="center" vertical="center"/>
    </xf>
    <xf numFmtId="0" fontId="38" fillId="0" borderId="8" xfId="0" applyFont="1" applyFill="1" applyBorder="1" applyAlignment="1">
      <alignment horizontal="center" vertical="center"/>
    </xf>
    <xf numFmtId="1" fontId="38" fillId="0" borderId="6" xfId="0" applyNumberFormat="1" applyFont="1" applyFill="1" applyBorder="1" applyAlignment="1">
      <alignment horizontal="center" vertical="center"/>
    </xf>
    <xf numFmtId="1" fontId="38" fillId="0" borderId="9" xfId="0" applyNumberFormat="1" applyFont="1" applyFill="1" applyBorder="1" applyAlignment="1">
      <alignment horizontal="center" vertical="center"/>
    </xf>
    <xf numFmtId="3" fontId="38" fillId="0" borderId="0" xfId="0" applyNumberFormat="1" applyFont="1" applyFill="1" applyBorder="1" applyAlignment="1">
      <alignment horizontal="center" vertical="center"/>
    </xf>
    <xf numFmtId="3" fontId="38" fillId="0" borderId="8" xfId="0" applyNumberFormat="1" applyFont="1" applyFill="1" applyBorder="1" applyAlignment="1">
      <alignment horizontal="center" vertical="center"/>
    </xf>
    <xf numFmtId="164" fontId="38" fillId="0" borderId="0" xfId="0" applyNumberFormat="1" applyFont="1" applyFill="1" applyBorder="1" applyAlignment="1">
      <alignment horizontal="center" vertical="center"/>
    </xf>
    <xf numFmtId="164" fontId="38" fillId="0" borderId="3" xfId="0" applyNumberFormat="1" applyFont="1" applyFill="1" applyBorder="1" applyAlignment="1">
      <alignment horizontal="center" vertical="center"/>
    </xf>
    <xf numFmtId="164" fontId="38" fillId="0" borderId="8" xfId="0" applyNumberFormat="1" applyFont="1" applyFill="1" applyBorder="1" applyAlignment="1">
      <alignment horizontal="center" vertical="center"/>
    </xf>
    <xf numFmtId="1" fontId="30" fillId="0" borderId="38" xfId="0" applyNumberFormat="1" applyFont="1" applyBorder="1" applyAlignment="1">
      <alignment horizontal="center"/>
    </xf>
    <xf numFmtId="1" fontId="30" fillId="0" borderId="39" xfId="0" applyNumberFormat="1" applyFont="1" applyBorder="1" applyAlignment="1">
      <alignment horizontal="center"/>
    </xf>
    <xf numFmtId="1" fontId="30" fillId="0" borderId="81" xfId="0" applyNumberFormat="1" applyFont="1" applyBorder="1" applyAlignment="1">
      <alignment horizontal="center"/>
    </xf>
    <xf numFmtId="0" fontId="26" fillId="0" borderId="0" xfId="0" applyFont="1" applyFill="1" applyBorder="1" applyAlignment="1">
      <alignment horizontal="center" wrapText="1"/>
    </xf>
    <xf numFmtId="10" fontId="0" fillId="0" borderId="1" xfId="0" applyNumberFormat="1" applyBorder="1"/>
    <xf numFmtId="1" fontId="0" fillId="0" borderId="58" xfId="0" applyNumberFormat="1" applyFont="1" applyBorder="1" applyAlignment="1">
      <alignment horizontal="center"/>
    </xf>
    <xf numFmtId="0" fontId="0" fillId="0" borderId="6" xfId="0" applyFill="1" applyBorder="1"/>
    <xf numFmtId="1" fontId="1" fillId="0" borderId="58" xfId="0" applyNumberFormat="1" applyFont="1" applyBorder="1" applyAlignment="1">
      <alignment horizontal="center"/>
    </xf>
    <xf numFmtId="1" fontId="0" fillId="0" borderId="56" xfId="0" applyNumberFormat="1" applyFont="1" applyBorder="1" applyAlignment="1">
      <alignment horizontal="center"/>
    </xf>
    <xf numFmtId="1" fontId="35" fillId="0" borderId="10" xfId="0" applyNumberFormat="1" applyFont="1" applyFill="1" applyBorder="1" applyAlignment="1">
      <alignment horizontal="center" vertical="center"/>
    </xf>
    <xf numFmtId="0" fontId="41" fillId="30" borderId="0" xfId="0" applyFont="1" applyFill="1"/>
    <xf numFmtId="0" fontId="0" fillId="0" borderId="4"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1" fillId="0" borderId="0" xfId="0" applyFont="1" applyAlignment="1">
      <alignment horizontal="left"/>
    </xf>
    <xf numFmtId="0" fontId="0" fillId="19" borderId="1" xfId="0" applyFill="1" applyBorder="1" applyAlignment="1">
      <alignment horizontal="center"/>
    </xf>
    <xf numFmtId="2" fontId="1" fillId="19" borderId="1" xfId="0" applyNumberFormat="1" applyFont="1" applyFill="1" applyBorder="1" applyAlignment="1">
      <alignment horizontal="center"/>
    </xf>
    <xf numFmtId="0" fontId="0" fillId="0" borderId="2" xfId="0" applyBorder="1"/>
    <xf numFmtId="0" fontId="0" fillId="0" borderId="4" xfId="0" applyBorder="1"/>
    <xf numFmtId="0" fontId="0" fillId="0" borderId="7" xfId="0" applyBorder="1"/>
    <xf numFmtId="0" fontId="0" fillId="0" borderId="9" xfId="0" applyBorder="1"/>
    <xf numFmtId="0" fontId="0" fillId="0" borderId="16" xfId="0" applyFont="1" applyFill="1" applyBorder="1" applyAlignment="1">
      <alignment horizontal="center"/>
    </xf>
    <xf numFmtId="0" fontId="0" fillId="0" borderId="0" xfId="0" applyFont="1" applyFill="1" applyBorder="1" applyAlignment="1">
      <alignment horizontal="center"/>
    </xf>
    <xf numFmtId="0" fontId="1" fillId="0" borderId="0" xfId="0" applyFont="1" applyFill="1" applyBorder="1" applyAlignment="1">
      <alignment horizontal="center"/>
    </xf>
    <xf numFmtId="0" fontId="1" fillId="0" borderId="5" xfId="0" applyFont="1" applyBorder="1" applyAlignment="1">
      <alignment horizontal="center"/>
    </xf>
    <xf numFmtId="0" fontId="0" fillId="0" borderId="8" xfId="0" applyBorder="1"/>
    <xf numFmtId="1" fontId="0" fillId="0" borderId="18" xfId="0" applyNumberFormat="1" applyFont="1" applyFill="1" applyBorder="1" applyAlignment="1">
      <alignment horizontal="center"/>
    </xf>
    <xf numFmtId="0" fontId="0" fillId="0" borderId="5" xfId="0" applyFont="1" applyFill="1" applyBorder="1"/>
    <xf numFmtId="0" fontId="0" fillId="0" borderId="6" xfId="0" applyFont="1" applyFill="1" applyBorder="1"/>
    <xf numFmtId="0" fontId="0" fillId="0" borderId="7" xfId="0" applyFont="1" applyFill="1" applyBorder="1"/>
    <xf numFmtId="0" fontId="31" fillId="0" borderId="0" xfId="1" applyFont="1" applyFill="1" applyBorder="1" applyProtection="1"/>
    <xf numFmtId="0" fontId="47" fillId="30" borderId="0" xfId="1" applyFont="1" applyFill="1" applyBorder="1" applyProtection="1"/>
    <xf numFmtId="0" fontId="48" fillId="30" borderId="0" xfId="1" applyFont="1" applyFill="1" applyBorder="1" applyProtection="1">
      <protection locked="0"/>
    </xf>
    <xf numFmtId="0" fontId="48" fillId="30" borderId="0" xfId="1" applyFont="1" applyFill="1" applyProtection="1"/>
    <xf numFmtId="0" fontId="1" fillId="18" borderId="1" xfId="0" applyFont="1" applyFill="1" applyBorder="1" applyAlignment="1">
      <alignment horizontal="center"/>
    </xf>
    <xf numFmtId="0" fontId="0" fillId="0" borderId="32" xfId="0" applyFont="1" applyFill="1" applyBorder="1"/>
    <xf numFmtId="0" fontId="1" fillId="0" borderId="14" xfId="0" applyFont="1" applyFill="1" applyBorder="1" applyAlignment="1">
      <alignment horizontal="center" wrapText="1"/>
    </xf>
    <xf numFmtId="0" fontId="1" fillId="0" borderId="6" xfId="0" applyFont="1" applyFill="1" applyBorder="1" applyAlignment="1">
      <alignment horizontal="center"/>
    </xf>
    <xf numFmtId="0" fontId="1" fillId="0" borderId="1" xfId="0" applyFont="1" applyFill="1" applyBorder="1" applyAlignment="1">
      <alignment horizontal="center"/>
    </xf>
    <xf numFmtId="0" fontId="1" fillId="0" borderId="33" xfId="0" applyFont="1" applyFill="1" applyBorder="1" applyAlignment="1">
      <alignment horizontal="center"/>
    </xf>
    <xf numFmtId="0" fontId="1" fillId="0" borderId="14" xfId="0" applyFont="1" applyFill="1" applyBorder="1" applyAlignment="1">
      <alignment horizontal="center"/>
    </xf>
    <xf numFmtId="0" fontId="0" fillId="0" borderId="3" xfId="0" applyFont="1" applyFill="1" applyBorder="1"/>
    <xf numFmtId="0" fontId="1" fillId="0" borderId="49" xfId="0" applyFont="1" applyFill="1" applyBorder="1"/>
    <xf numFmtId="0" fontId="1" fillId="0" borderId="50" xfId="0" applyFont="1" applyFill="1" applyBorder="1"/>
    <xf numFmtId="1" fontId="0" fillId="0" borderId="51" xfId="0" applyNumberFormat="1" applyFont="1" applyFill="1" applyBorder="1" applyAlignment="1">
      <alignment horizontal="center"/>
    </xf>
    <xf numFmtId="0" fontId="0" fillId="0" borderId="12" xfId="0" applyFont="1" applyFill="1" applyBorder="1" applyAlignment="1">
      <alignment horizontal="center"/>
    </xf>
    <xf numFmtId="1" fontId="0" fillId="0" borderId="50" xfId="0" applyNumberFormat="1" applyFont="1" applyFill="1" applyBorder="1" applyAlignment="1">
      <alignment horizontal="center"/>
    </xf>
    <xf numFmtId="1" fontId="0" fillId="0" borderId="12" xfId="0" applyNumberFormat="1" applyFont="1" applyFill="1" applyBorder="1" applyAlignment="1">
      <alignment horizontal="center"/>
    </xf>
    <xf numFmtId="3" fontId="0" fillId="0" borderId="50" xfId="0" applyNumberFormat="1" applyFont="1" applyFill="1" applyBorder="1" applyAlignment="1">
      <alignment horizontal="center"/>
    </xf>
    <xf numFmtId="3" fontId="0" fillId="0" borderId="12" xfId="0" applyNumberFormat="1" applyFont="1" applyFill="1" applyBorder="1" applyAlignment="1">
      <alignment horizontal="center"/>
    </xf>
    <xf numFmtId="3" fontId="0" fillId="0" borderId="32" xfId="0" applyNumberFormat="1" applyFont="1" applyFill="1" applyBorder="1" applyAlignment="1">
      <alignment horizontal="center"/>
    </xf>
    <xf numFmtId="3" fontId="0" fillId="0" borderId="13" xfId="0" applyNumberFormat="1" applyFont="1" applyFill="1" applyBorder="1" applyAlignment="1">
      <alignment horizontal="center"/>
    </xf>
    <xf numFmtId="0" fontId="1" fillId="0" borderId="5" xfId="0" applyFont="1" applyFill="1" applyBorder="1"/>
    <xf numFmtId="3" fontId="0" fillId="0" borderId="5" xfId="0" applyNumberFormat="1" applyFont="1" applyFill="1" applyBorder="1" applyAlignment="1">
      <alignment horizontal="center"/>
    </xf>
    <xf numFmtId="3" fontId="0" fillId="0" borderId="6" xfId="0" applyNumberFormat="1" applyFont="1" applyFill="1" applyBorder="1" applyAlignment="1">
      <alignment horizontal="center"/>
    </xf>
    <xf numFmtId="1" fontId="0" fillId="0" borderId="15" xfId="0" applyNumberFormat="1" applyFont="1" applyFill="1" applyBorder="1" applyAlignment="1">
      <alignment horizontal="center"/>
    </xf>
    <xf numFmtId="0" fontId="0" fillId="0" borderId="38" xfId="0" applyFont="1" applyFill="1" applyBorder="1"/>
    <xf numFmtId="0" fontId="0" fillId="0" borderId="40" xfId="0" applyFont="1" applyFill="1" applyBorder="1"/>
    <xf numFmtId="0" fontId="0" fillId="0" borderId="39" xfId="0" applyFont="1" applyFill="1" applyBorder="1" applyAlignment="1">
      <alignment horizontal="center"/>
    </xf>
    <xf numFmtId="0" fontId="0" fillId="0" borderId="40" xfId="0" applyFont="1" applyFill="1" applyBorder="1" applyAlignment="1">
      <alignment horizontal="center"/>
    </xf>
    <xf numFmtId="0" fontId="0" fillId="0" borderId="41" xfId="0" applyFont="1" applyFill="1" applyBorder="1" applyAlignment="1">
      <alignment horizontal="center"/>
    </xf>
    <xf numFmtId="0" fontId="0" fillId="0" borderId="17" xfId="0" applyFont="1" applyFill="1" applyBorder="1" applyAlignment="1">
      <alignment horizontal="center"/>
    </xf>
    <xf numFmtId="2" fontId="0" fillId="0" borderId="0" xfId="0" applyNumberFormat="1" applyFill="1" applyAlignment="1">
      <alignment horizontal="center"/>
    </xf>
    <xf numFmtId="2" fontId="0" fillId="19" borderId="10" xfId="0" applyNumberFormat="1" applyFill="1" applyBorder="1" applyAlignment="1">
      <alignment horizontal="center"/>
    </xf>
    <xf numFmtId="2" fontId="0" fillId="19" borderId="18" xfId="0" applyNumberFormat="1" applyFill="1" applyBorder="1" applyAlignment="1">
      <alignment horizontal="center"/>
    </xf>
    <xf numFmtId="2" fontId="0" fillId="19" borderId="19" xfId="0" applyNumberFormat="1" applyFill="1" applyBorder="1" applyAlignment="1">
      <alignment horizontal="center"/>
    </xf>
    <xf numFmtId="0" fontId="1" fillId="0" borderId="0" xfId="0" applyFont="1" applyAlignment="1">
      <alignment horizontal="center"/>
    </xf>
    <xf numFmtId="2" fontId="1" fillId="18" borderId="1" xfId="0" applyNumberFormat="1" applyFont="1" applyFill="1" applyBorder="1" applyAlignment="1">
      <alignment horizontal="center"/>
    </xf>
    <xf numFmtId="0" fontId="0" fillId="0" borderId="0" xfId="0" applyAlignment="1">
      <alignment horizontal="center"/>
    </xf>
    <xf numFmtId="1" fontId="1" fillId="0" borderId="0" xfId="0" applyNumberFormat="1" applyFont="1" applyFill="1" applyBorder="1" applyAlignment="1">
      <alignment horizontal="center"/>
    </xf>
    <xf numFmtId="164" fontId="38" fillId="0" borderId="4" xfId="0" applyNumberFormat="1" applyFont="1" applyFill="1" applyBorder="1" applyAlignment="1">
      <alignment horizontal="center" vertical="center"/>
    </xf>
    <xf numFmtId="164" fontId="38" fillId="0" borderId="9" xfId="0" applyNumberFormat="1" applyFont="1" applyFill="1" applyBorder="1" applyAlignment="1">
      <alignment horizontal="center" vertical="center"/>
    </xf>
    <xf numFmtId="0" fontId="22" fillId="0" borderId="2" xfId="0" applyFont="1" applyFill="1" applyBorder="1"/>
    <xf numFmtId="0" fontId="1" fillId="0" borderId="0" xfId="0" applyFont="1" applyFill="1" applyBorder="1" applyAlignment="1">
      <alignment horizontal="center"/>
    </xf>
    <xf numFmtId="0" fontId="0" fillId="0" borderId="0" xfId="0" applyAlignment="1">
      <alignment horizontal="center"/>
    </xf>
    <xf numFmtId="0" fontId="0" fillId="0" borderId="0" xfId="0" applyAlignment="1">
      <alignment horizontal="center"/>
    </xf>
    <xf numFmtId="0" fontId="2" fillId="16" borderId="0" xfId="0" applyFont="1" applyFill="1" applyAlignment="1">
      <alignment horizontal="center"/>
    </xf>
    <xf numFmtId="0" fontId="0" fillId="16" borderId="0" xfId="0" applyFill="1" applyAlignment="1">
      <alignment horizontal="center"/>
    </xf>
    <xf numFmtId="0" fontId="0" fillId="0" borderId="10" xfId="0" applyBorder="1"/>
    <xf numFmtId="0" fontId="0" fillId="0" borderId="19" xfId="0" applyBorder="1"/>
    <xf numFmtId="0" fontId="0" fillId="0" borderId="18" xfId="0" applyBorder="1"/>
    <xf numFmtId="0" fontId="1" fillId="30" borderId="4" xfId="0" applyFont="1" applyFill="1" applyBorder="1" applyAlignment="1">
      <alignment horizontal="left"/>
    </xf>
    <xf numFmtId="0" fontId="1" fillId="30" borderId="0" xfId="0" applyFont="1" applyFill="1" applyBorder="1" applyAlignment="1">
      <alignment horizontal="right"/>
    </xf>
    <xf numFmtId="165" fontId="0" fillId="0" borderId="10" xfId="0" applyNumberFormat="1" applyBorder="1" applyAlignment="1">
      <alignment horizontal="center"/>
    </xf>
    <xf numFmtId="165" fontId="0" fillId="0" borderId="19" xfId="0" applyNumberFormat="1" applyBorder="1" applyAlignment="1">
      <alignment horizontal="center"/>
    </xf>
    <xf numFmtId="164" fontId="0" fillId="0" borderId="1" xfId="0" applyNumberFormat="1" applyBorder="1" applyAlignment="1">
      <alignment horizontal="center"/>
    </xf>
    <xf numFmtId="2" fontId="0" fillId="19" borderId="30" xfId="0" applyNumberFormat="1"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2" fontId="0" fillId="0" borderId="30" xfId="0" applyNumberFormat="1" applyBorder="1" applyAlignment="1">
      <alignment horizontal="center"/>
    </xf>
    <xf numFmtId="1" fontId="0" fillId="0" borderId="1" xfId="0" applyNumberFormat="1" applyBorder="1"/>
    <xf numFmtId="1" fontId="1" fillId="0" borderId="0" xfId="0" applyNumberFormat="1" applyFont="1" applyBorder="1" applyAlignment="1">
      <alignment horizontal="center"/>
    </xf>
    <xf numFmtId="1" fontId="30" fillId="0" borderId="0" xfId="0" applyNumberFormat="1" applyFont="1" applyBorder="1" applyAlignment="1">
      <alignment horizontal="center"/>
    </xf>
    <xf numFmtId="1" fontId="0" fillId="26" borderId="82" xfId="0" applyNumberFormat="1" applyFont="1" applyFill="1" applyBorder="1" applyAlignment="1">
      <alignment horizontal="center"/>
    </xf>
    <xf numFmtId="1" fontId="0" fillId="26" borderId="46" xfId="0" applyNumberFormat="1" applyFont="1" applyFill="1" applyBorder="1" applyAlignment="1">
      <alignment horizontal="center"/>
    </xf>
    <xf numFmtId="1" fontId="0" fillId="26" borderId="79" xfId="0" applyNumberFormat="1" applyFont="1" applyFill="1" applyBorder="1" applyAlignment="1">
      <alignment horizontal="center"/>
    </xf>
    <xf numFmtId="1" fontId="11" fillId="0" borderId="0" xfId="0" applyNumberFormat="1" applyFont="1"/>
    <xf numFmtId="1" fontId="0" fillId="27" borderId="68" xfId="0" applyNumberFormat="1" applyFont="1" applyFill="1" applyBorder="1" applyAlignment="1">
      <alignment horizontal="center" wrapText="1"/>
    </xf>
    <xf numFmtId="1" fontId="0" fillId="27" borderId="69" xfId="0" applyNumberFormat="1" applyFont="1" applyFill="1" applyBorder="1" applyAlignment="1">
      <alignment horizontal="center" wrapText="1"/>
    </xf>
    <xf numFmtId="1" fontId="0" fillId="27" borderId="59" xfId="0" applyNumberFormat="1" applyFont="1" applyFill="1" applyBorder="1" applyAlignment="1">
      <alignment horizontal="center" wrapText="1"/>
    </xf>
    <xf numFmtId="1" fontId="0" fillId="27" borderId="63" xfId="0" applyNumberFormat="1" applyFont="1" applyFill="1" applyBorder="1" applyAlignment="1">
      <alignment horizontal="center" wrapText="1"/>
    </xf>
    <xf numFmtId="1" fontId="0" fillId="0" borderId="0" xfId="0" applyNumberFormat="1" applyFont="1" applyAlignment="1">
      <alignment horizontal="center"/>
    </xf>
    <xf numFmtId="1" fontId="11" fillId="0" borderId="0" xfId="0" applyNumberFormat="1" applyFont="1" applyAlignment="1">
      <alignment horizontal="right"/>
    </xf>
    <xf numFmtId="9" fontId="30" fillId="0" borderId="0" xfId="3" applyFont="1" applyBorder="1" applyAlignment="1">
      <alignment horizontal="center"/>
    </xf>
    <xf numFmtId="166" fontId="0" fillId="0" borderId="0" xfId="0" applyNumberFormat="1" applyFont="1"/>
    <xf numFmtId="9" fontId="0" fillId="0" borderId="1" xfId="3" applyFont="1" applyFill="1" applyBorder="1" applyAlignment="1">
      <alignment horizontal="left"/>
    </xf>
    <xf numFmtId="0" fontId="0" fillId="0" borderId="1" xfId="0" applyFill="1" applyBorder="1" applyAlignment="1">
      <alignment horizontal="center"/>
    </xf>
    <xf numFmtId="1" fontId="0" fillId="0" borderId="1" xfId="0" applyNumberFormat="1" applyFill="1" applyBorder="1" applyAlignment="1">
      <alignment horizontal="center"/>
    </xf>
    <xf numFmtId="1" fontId="25" fillId="0" borderId="1" xfId="0" applyNumberFormat="1" applyFont="1" applyFill="1" applyBorder="1" applyAlignment="1">
      <alignment horizontal="center"/>
    </xf>
    <xf numFmtId="1" fontId="0" fillId="0" borderId="55" xfId="0" applyNumberFormat="1" applyFont="1" applyBorder="1" applyAlignment="1">
      <alignment horizontal="center"/>
    </xf>
    <xf numFmtId="1" fontId="0" fillId="0" borderId="56" xfId="0" applyNumberFormat="1" applyBorder="1" applyAlignment="1">
      <alignment horizontal="center"/>
    </xf>
    <xf numFmtId="168" fontId="31" fillId="0" borderId="24" xfId="1" applyNumberFormat="1" applyFont="1" applyFill="1" applyBorder="1" applyAlignment="1" applyProtection="1">
      <alignment horizontal="center"/>
    </xf>
    <xf numFmtId="168" fontId="31" fillId="0" borderId="27" xfId="1" applyNumberFormat="1" applyFont="1" applyFill="1" applyBorder="1" applyAlignment="1" applyProtection="1">
      <alignment horizontal="center"/>
    </xf>
    <xf numFmtId="1" fontId="0" fillId="0" borderId="2" xfId="0" applyNumberFormat="1" applyFont="1" applyBorder="1" applyAlignment="1">
      <alignment horizontal="center"/>
    </xf>
    <xf numFmtId="1" fontId="0" fillId="0" borderId="5" xfId="0" applyNumberFormat="1" applyFont="1" applyBorder="1" applyAlignment="1">
      <alignment horizontal="center"/>
    </xf>
    <xf numFmtId="1" fontId="0" fillId="0" borderId="7" xfId="0" applyNumberFormat="1" applyFont="1" applyBorder="1" applyAlignment="1">
      <alignment horizontal="center"/>
    </xf>
    <xf numFmtId="0" fontId="8" fillId="0" borderId="0" xfId="0" applyFont="1" applyAlignment="1">
      <alignment horizontal="center"/>
    </xf>
    <xf numFmtId="0" fontId="10" fillId="19" borderId="0" xfId="0" applyFont="1" applyFill="1"/>
    <xf numFmtId="0" fontId="0" fillId="0" borderId="2" xfId="0" applyBorder="1" applyAlignment="1">
      <alignment horizontal="center"/>
    </xf>
    <xf numFmtId="0" fontId="0" fillId="19" borderId="0" xfId="0" applyFill="1"/>
    <xf numFmtId="0" fontId="0" fillId="19" borderId="5" xfId="0" applyFont="1" applyFill="1" applyBorder="1"/>
    <xf numFmtId="0" fontId="0" fillId="19" borderId="7" xfId="0" applyFont="1" applyFill="1" applyBorder="1"/>
    <xf numFmtId="0" fontId="0" fillId="18" borderId="0" xfId="0" applyFill="1"/>
    <xf numFmtId="0" fontId="1" fillId="16" borderId="0" xfId="0" applyFont="1" applyFill="1" applyBorder="1"/>
    <xf numFmtId="0" fontId="21" fillId="16" borderId="0" xfId="0" applyFont="1" applyFill="1" applyBorder="1"/>
    <xf numFmtId="1" fontId="0" fillId="16" borderId="0" xfId="0" applyNumberFormat="1" applyFont="1" applyFill="1" applyBorder="1" applyAlignment="1">
      <alignment horizontal="center"/>
    </xf>
    <xf numFmtId="0" fontId="0" fillId="0" borderId="0" xfId="0" applyFont="1" applyFill="1" applyBorder="1" applyAlignment="1">
      <alignment horizontal="center"/>
    </xf>
    <xf numFmtId="0" fontId="0" fillId="19" borderId="10" xfId="0" applyFill="1" applyBorder="1" applyAlignment="1">
      <alignment horizontal="center"/>
    </xf>
    <xf numFmtId="0" fontId="0" fillId="19" borderId="18" xfId="0" applyFill="1" applyBorder="1" applyAlignment="1">
      <alignment horizontal="center"/>
    </xf>
    <xf numFmtId="0" fontId="0" fillId="19" borderId="19" xfId="0" applyFill="1" applyBorder="1" applyAlignment="1">
      <alignment horizontal="center"/>
    </xf>
    <xf numFmtId="165" fontId="0" fillId="0" borderId="1" xfId="0" applyNumberFormat="1" applyBorder="1" applyAlignment="1">
      <alignment horizontal="center"/>
    </xf>
    <xf numFmtId="0" fontId="0" fillId="19" borderId="0" xfId="0" applyFill="1" applyAlignment="1">
      <alignment horizontal="center"/>
    </xf>
    <xf numFmtId="0" fontId="0" fillId="19" borderId="2" xfId="0" applyFont="1" applyFill="1" applyBorder="1"/>
    <xf numFmtId="0" fontId="0" fillId="0" borderId="3" xfId="0" applyBorder="1"/>
    <xf numFmtId="0" fontId="0" fillId="0" borderId="6" xfId="0" applyBorder="1"/>
    <xf numFmtId="0" fontId="0" fillId="19" borderId="5" xfId="0" applyFill="1" applyBorder="1"/>
    <xf numFmtId="0" fontId="0" fillId="19" borderId="10" xfId="0" applyFont="1" applyFill="1" applyBorder="1"/>
    <xf numFmtId="0" fontId="0" fillId="19" borderId="18" xfId="0" applyFont="1" applyFill="1" applyBorder="1"/>
    <xf numFmtId="0" fontId="0" fillId="19" borderId="19" xfId="0" applyFont="1" applyFill="1" applyBorder="1"/>
    <xf numFmtId="0" fontId="1" fillId="0" borderId="3" xfId="0" applyFont="1" applyBorder="1" applyAlignment="1">
      <alignment horizontal="center"/>
    </xf>
    <xf numFmtId="0" fontId="0" fillId="0" borderId="5" xfId="0" applyBorder="1"/>
    <xf numFmtId="0" fontId="1" fillId="0" borderId="0" xfId="0" applyFont="1" applyBorder="1"/>
    <xf numFmtId="0" fontId="1" fillId="0" borderId="0" xfId="0" applyFont="1" applyBorder="1" applyAlignment="1">
      <alignment horizontal="center"/>
    </xf>
    <xf numFmtId="1" fontId="0" fillId="0" borderId="0" xfId="0" applyNumberFormat="1" applyBorder="1" applyAlignment="1">
      <alignment horizontal="center"/>
    </xf>
    <xf numFmtId="0" fontId="0" fillId="0" borderId="6" xfId="0" applyBorder="1" applyAlignment="1">
      <alignment horizontal="right"/>
    </xf>
    <xf numFmtId="2" fontId="0" fillId="0" borderId="0" xfId="0" applyNumberFormat="1" applyBorder="1" applyAlignment="1">
      <alignment horizontal="center"/>
    </xf>
    <xf numFmtId="2" fontId="0" fillId="0" borderId="1" xfId="0" applyNumberFormat="1" applyBorder="1" applyAlignment="1">
      <alignment horizontal="center"/>
    </xf>
    <xf numFmtId="2" fontId="0" fillId="19" borderId="1" xfId="0" applyNumberFormat="1" applyFill="1" applyBorder="1" applyAlignment="1">
      <alignment horizontal="center"/>
    </xf>
    <xf numFmtId="0" fontId="0" fillId="0" borderId="0" xfId="0" applyAlignment="1">
      <alignment horizontal="center"/>
    </xf>
    <xf numFmtId="0" fontId="0" fillId="0" borderId="1" xfId="0" applyFont="1" applyBorder="1" applyAlignment="1">
      <alignment horizontal="center"/>
    </xf>
    <xf numFmtId="0" fontId="38" fillId="0" borderId="2" xfId="0" applyFont="1" applyFill="1" applyBorder="1" applyAlignment="1">
      <alignment horizontal="center" vertical="center"/>
    </xf>
    <xf numFmtId="1" fontId="38" fillId="0" borderId="4" xfId="0" applyNumberFormat="1"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7" xfId="0" applyFill="1" applyBorder="1"/>
    <xf numFmtId="0" fontId="0" fillId="0" borderId="9" xfId="0" applyFill="1" applyBorder="1"/>
    <xf numFmtId="0" fontId="1" fillId="0" borderId="5" xfId="0" applyFont="1" applyFill="1" applyBorder="1" applyAlignment="1">
      <alignment horizontal="right"/>
    </xf>
    <xf numFmtId="0" fontId="0" fillId="0" borderId="0" xfId="0" applyFont="1" applyProtection="1"/>
    <xf numFmtId="0" fontId="0" fillId="0" borderId="0" xfId="0" applyFont="1" applyBorder="1" applyProtection="1"/>
    <xf numFmtId="0" fontId="0" fillId="0" borderId="0" xfId="0" applyProtection="1"/>
    <xf numFmtId="0" fontId="4" fillId="0" borderId="0" xfId="0" applyFont="1" applyProtection="1"/>
    <xf numFmtId="0" fontId="0" fillId="0" borderId="1" xfId="0" applyFont="1" applyBorder="1" applyProtection="1"/>
    <xf numFmtId="165" fontId="0" fillId="0" borderId="0" xfId="0" applyNumberFormat="1" applyProtection="1">
      <protection locked="0"/>
    </xf>
    <xf numFmtId="0" fontId="0" fillId="2" borderId="0"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5" xfId="0" applyFont="1" applyFill="1" applyBorder="1" applyAlignment="1" applyProtection="1">
      <alignment horizontal="center" vertical="center"/>
    </xf>
    <xf numFmtId="0" fontId="1" fillId="30" borderId="43" xfId="0" applyFont="1" applyFill="1" applyBorder="1" applyAlignment="1" applyProtection="1">
      <alignment horizontal="center"/>
    </xf>
    <xf numFmtId="0" fontId="1" fillId="30" borderId="44" xfId="0" applyFont="1" applyFill="1" applyBorder="1" applyAlignment="1" applyProtection="1">
      <alignment horizontal="center"/>
    </xf>
    <xf numFmtId="0" fontId="1" fillId="19" borderId="1" xfId="0" applyFont="1" applyFill="1" applyBorder="1" applyAlignment="1" applyProtection="1">
      <alignment horizontal="center"/>
    </xf>
    <xf numFmtId="0" fontId="0" fillId="0" borderId="0" xfId="0" applyFill="1" applyProtection="1"/>
    <xf numFmtId="0" fontId="0" fillId="0" borderId="0" xfId="0" applyFill="1" applyAlignment="1" applyProtection="1">
      <alignment horizontal="center" vertical="center"/>
    </xf>
    <xf numFmtId="0" fontId="28" fillId="0" borderId="0" xfId="0" applyFont="1" applyFill="1" applyProtection="1"/>
    <xf numFmtId="0" fontId="0" fillId="0" borderId="0" xfId="0" applyFill="1" applyAlignment="1" applyProtection="1">
      <alignment vertical="top"/>
    </xf>
    <xf numFmtId="0" fontId="0" fillId="0" borderId="0" xfId="0" applyFill="1" applyAlignment="1" applyProtection="1">
      <alignment horizontal="center"/>
    </xf>
    <xf numFmtId="0" fontId="10" fillId="0" borderId="0" xfId="0" applyFont="1" applyFill="1" applyProtection="1"/>
    <xf numFmtId="0" fontId="0" fillId="0" borderId="0" xfId="0" applyFill="1" applyBorder="1" applyAlignment="1" applyProtection="1">
      <alignment horizontal="center" vertical="center"/>
    </xf>
    <xf numFmtId="0" fontId="0" fillId="0" borderId="0" xfId="0" applyFill="1" applyBorder="1" applyProtection="1"/>
    <xf numFmtId="0" fontId="28" fillId="0" borderId="0" xfId="0" applyFont="1" applyProtection="1"/>
    <xf numFmtId="0" fontId="44" fillId="0" borderId="0" xfId="0" applyFont="1" applyProtection="1"/>
    <xf numFmtId="0" fontId="0" fillId="0" borderId="0" xfId="0" applyFont="1" applyFill="1" applyBorder="1" applyProtection="1"/>
    <xf numFmtId="0" fontId="4" fillId="0" borderId="0" xfId="0" applyFont="1" applyFill="1" applyAlignment="1" applyProtection="1">
      <alignment horizontal="center" vertical="top" wrapText="1"/>
    </xf>
    <xf numFmtId="0" fontId="4" fillId="0" borderId="0" xfId="0" applyFont="1" applyFill="1" applyAlignment="1" applyProtection="1">
      <alignment horizontal="center"/>
    </xf>
    <xf numFmtId="0" fontId="0" fillId="0" borderId="0" xfId="0" applyFont="1" applyFill="1" applyBorder="1" applyAlignment="1" applyProtection="1">
      <alignment horizontal="center"/>
    </xf>
    <xf numFmtId="0" fontId="0" fillId="0" borderId="48" xfId="0" applyFont="1" applyBorder="1"/>
    <xf numFmtId="0" fontId="0" fillId="0" borderId="12" xfId="0" applyFont="1" applyBorder="1"/>
    <xf numFmtId="0" fontId="40" fillId="4" borderId="91" xfId="0" applyFont="1" applyFill="1" applyBorder="1" applyAlignment="1">
      <alignment horizontal="center" vertical="center"/>
    </xf>
    <xf numFmtId="0" fontId="40" fillId="4" borderId="90" xfId="0" applyFont="1" applyFill="1" applyBorder="1" applyAlignment="1">
      <alignment horizontal="center" vertical="center"/>
    </xf>
    <xf numFmtId="0" fontId="0" fillId="0" borderId="14" xfId="0" applyFont="1" applyBorder="1"/>
    <xf numFmtId="0" fontId="0" fillId="0" borderId="16" xfId="0" applyFont="1" applyBorder="1"/>
    <xf numFmtId="0" fontId="0" fillId="0" borderId="6" xfId="0" applyFont="1" applyBorder="1"/>
    <xf numFmtId="0" fontId="0" fillId="0" borderId="41" xfId="0" applyFont="1" applyBorder="1"/>
    <xf numFmtId="0" fontId="0" fillId="0" borderId="0" xfId="0" applyFont="1" applyBorder="1" applyAlignment="1">
      <alignment horizontal="center" vertical="center"/>
    </xf>
    <xf numFmtId="0" fontId="40" fillId="5" borderId="91" xfId="0" applyFont="1" applyFill="1" applyBorder="1" applyAlignment="1">
      <alignment horizontal="center" vertical="center"/>
    </xf>
    <xf numFmtId="0" fontId="40" fillId="5" borderId="90" xfId="0" applyFont="1" applyFill="1" applyBorder="1" applyAlignment="1">
      <alignment horizontal="center" vertical="center"/>
    </xf>
    <xf numFmtId="0" fontId="40" fillId="10" borderId="91" xfId="0" applyFont="1" applyFill="1" applyBorder="1" applyAlignment="1">
      <alignment horizontal="center" vertical="center"/>
    </xf>
    <xf numFmtId="0" fontId="40" fillId="10" borderId="90" xfId="0" applyFont="1" applyFill="1" applyBorder="1" applyAlignment="1">
      <alignment horizontal="center" vertical="center"/>
    </xf>
    <xf numFmtId="0" fontId="40" fillId="3" borderId="91" xfId="0" applyFont="1" applyFill="1" applyBorder="1" applyAlignment="1">
      <alignment horizontal="center" vertical="center"/>
    </xf>
    <xf numFmtId="0" fontId="40" fillId="3" borderId="90" xfId="0" applyFont="1" applyFill="1" applyBorder="1" applyAlignment="1">
      <alignment horizontal="center" vertical="center"/>
    </xf>
    <xf numFmtId="0" fontId="40" fillId="6" borderId="91" xfId="0" applyFont="1" applyFill="1" applyBorder="1" applyAlignment="1">
      <alignment horizontal="center" vertical="center"/>
    </xf>
    <xf numFmtId="0" fontId="40" fillId="6" borderId="90" xfId="0" applyFont="1" applyFill="1" applyBorder="1" applyAlignment="1">
      <alignment horizontal="center" vertical="center"/>
    </xf>
    <xf numFmtId="0" fontId="40" fillId="7" borderId="91" xfId="0" applyFont="1" applyFill="1" applyBorder="1" applyAlignment="1">
      <alignment horizontal="center" vertical="center"/>
    </xf>
    <xf numFmtId="0" fontId="40" fillId="7" borderId="90" xfId="0" applyFont="1" applyFill="1" applyBorder="1" applyAlignment="1">
      <alignment horizontal="center" vertical="center"/>
    </xf>
    <xf numFmtId="0" fontId="0" fillId="0" borderId="0" xfId="0" applyFont="1" applyAlignment="1">
      <alignment horizontal="center" vertical="center"/>
    </xf>
    <xf numFmtId="0" fontId="1" fillId="0" borderId="71" xfId="0" applyFont="1" applyBorder="1" applyAlignment="1">
      <alignment horizontal="center" vertical="center"/>
    </xf>
    <xf numFmtId="0" fontId="1" fillId="0" borderId="0" xfId="0" applyFont="1" applyBorder="1" applyAlignment="1">
      <alignment horizontal="center" vertical="center"/>
    </xf>
    <xf numFmtId="0" fontId="1" fillId="30" borderId="43" xfId="0" applyFont="1" applyFill="1" applyBorder="1" applyAlignment="1" applyProtection="1">
      <alignment horizontal="center" vertic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8" fillId="29" borderId="2" xfId="0" applyFont="1" applyFill="1" applyBorder="1" applyAlignment="1">
      <alignment horizontal="center"/>
    </xf>
    <xf numFmtId="0" fontId="8" fillId="29" borderId="5" xfId="0" applyFont="1" applyFill="1" applyBorder="1" applyAlignment="1">
      <alignment horizontal="center"/>
    </xf>
    <xf numFmtId="0" fontId="8" fillId="29" borderId="7" xfId="0" applyFont="1" applyFill="1" applyBorder="1" applyAlignment="1">
      <alignment horizontal="center"/>
    </xf>
    <xf numFmtId="0" fontId="8" fillId="29" borderId="4" xfId="0" applyFont="1" applyFill="1" applyBorder="1" applyAlignment="1">
      <alignment horizontal="center"/>
    </xf>
    <xf numFmtId="0" fontId="8" fillId="29" borderId="6" xfId="0" applyFont="1" applyFill="1" applyBorder="1" applyAlignment="1">
      <alignment horizontal="center"/>
    </xf>
    <xf numFmtId="0" fontId="8" fillId="29" borderId="9" xfId="0" applyFont="1" applyFill="1" applyBorder="1" applyAlignment="1">
      <alignment horizontal="center"/>
    </xf>
    <xf numFmtId="164" fontId="0" fillId="0" borderId="18" xfId="0" applyNumberFormat="1" applyBorder="1" applyAlignment="1">
      <alignment horizontal="center"/>
    </xf>
    <xf numFmtId="164" fontId="0" fillId="0" borderId="19" xfId="0" applyNumberFormat="1" applyBorder="1" applyAlignment="1">
      <alignment horizontal="center"/>
    </xf>
    <xf numFmtId="3" fontId="31" fillId="32" borderId="21" xfId="1" applyNumberFormat="1" applyFont="1" applyFill="1" applyBorder="1" applyAlignment="1" applyProtection="1">
      <alignment horizontal="center"/>
      <protection locked="0"/>
    </xf>
    <xf numFmtId="168" fontId="31" fillId="32" borderId="21" xfId="1" applyNumberFormat="1" applyFont="1" applyFill="1" applyBorder="1" applyAlignment="1" applyProtection="1">
      <alignment horizontal="center"/>
      <protection locked="0"/>
    </xf>
    <xf numFmtId="3" fontId="31" fillId="32" borderId="24" xfId="1" applyNumberFormat="1" applyFont="1" applyFill="1" applyBorder="1" applyAlignment="1" applyProtection="1">
      <alignment horizontal="center"/>
      <protection locked="0"/>
    </xf>
    <xf numFmtId="168" fontId="31" fillId="32" borderId="24" xfId="1" applyNumberFormat="1" applyFont="1" applyFill="1" applyBorder="1" applyAlignment="1" applyProtection="1">
      <alignment horizontal="center"/>
      <protection locked="0"/>
    </xf>
    <xf numFmtId="3" fontId="31" fillId="12" borderId="28" xfId="1" applyNumberFormat="1" applyFont="1" applyFill="1" applyBorder="1" applyProtection="1">
      <protection locked="0"/>
    </xf>
    <xf numFmtId="164" fontId="31" fillId="32" borderId="20" xfId="1" applyNumberFormat="1" applyFont="1" applyFill="1" applyBorder="1" applyAlignment="1" applyProtection="1">
      <alignment horizontal="center"/>
      <protection locked="0"/>
    </xf>
    <xf numFmtId="164" fontId="31" fillId="32" borderId="23" xfId="1" applyNumberFormat="1" applyFont="1" applyFill="1" applyBorder="1" applyAlignment="1" applyProtection="1">
      <alignment horizontal="center"/>
      <protection locked="0"/>
    </xf>
    <xf numFmtId="3" fontId="31" fillId="32" borderId="27" xfId="1" applyNumberFormat="1" applyFont="1" applyFill="1" applyBorder="1" applyAlignment="1" applyProtection="1">
      <alignment horizontal="center"/>
      <protection locked="0"/>
    </xf>
    <xf numFmtId="164" fontId="31" fillId="32" borderId="26" xfId="1" applyNumberFormat="1" applyFont="1" applyFill="1" applyBorder="1" applyAlignment="1" applyProtection="1">
      <alignment horizontal="center"/>
      <protection locked="0"/>
    </xf>
    <xf numFmtId="168" fontId="31" fillId="32" borderId="19" xfId="1" applyNumberFormat="1" applyFont="1" applyFill="1" applyBorder="1" applyAlignment="1" applyProtection="1">
      <alignment horizontal="center"/>
      <protection locked="0"/>
    </xf>
    <xf numFmtId="1" fontId="31" fillId="32" borderId="18" xfId="1" applyNumberFormat="1" applyFont="1" applyFill="1" applyBorder="1" applyAlignment="1" applyProtection="1">
      <alignment horizontal="center"/>
      <protection locked="0"/>
    </xf>
    <xf numFmtId="2" fontId="31" fillId="32" borderId="18" xfId="1" applyNumberFormat="1" applyFont="1" applyFill="1" applyBorder="1" applyAlignment="1" applyProtection="1">
      <alignment horizontal="center"/>
      <protection locked="0"/>
    </xf>
    <xf numFmtId="3" fontId="31" fillId="32" borderId="18" xfId="1" applyNumberFormat="1" applyFont="1" applyFill="1" applyBorder="1" applyAlignment="1" applyProtection="1">
      <alignment horizontal="center"/>
      <protection locked="0"/>
    </xf>
    <xf numFmtId="164" fontId="31" fillId="32" borderId="18" xfId="1" applyNumberFormat="1" applyFont="1" applyFill="1" applyBorder="1" applyAlignment="1" applyProtection="1">
      <alignment horizontal="center"/>
      <protection locked="0"/>
    </xf>
    <xf numFmtId="1" fontId="31" fillId="32" borderId="51" xfId="1" applyNumberFormat="1" applyFont="1" applyFill="1" applyBorder="1" applyAlignment="1" applyProtection="1">
      <alignment horizontal="center"/>
      <protection locked="0"/>
    </xf>
    <xf numFmtId="2" fontId="31" fillId="32" borderId="51" xfId="1" applyNumberFormat="1" applyFont="1" applyFill="1" applyBorder="1" applyAlignment="1" applyProtection="1">
      <alignment horizontal="center"/>
      <protection locked="0"/>
    </xf>
    <xf numFmtId="0" fontId="0" fillId="28" borderId="1" xfId="0" applyFill="1" applyBorder="1" applyAlignment="1" applyProtection="1">
      <alignment horizontal="center" vertical="center"/>
      <protection locked="0"/>
    </xf>
    <xf numFmtId="0" fontId="0" fillId="28" borderId="1" xfId="0" applyFont="1" applyFill="1" applyBorder="1" applyAlignment="1" applyProtection="1">
      <alignment horizontal="center" vertical="center"/>
      <protection locked="0"/>
    </xf>
    <xf numFmtId="0" fontId="0" fillId="28" borderId="71" xfId="0" applyFont="1" applyFill="1" applyBorder="1" applyAlignment="1" applyProtection="1">
      <alignment horizontal="center" vertical="center"/>
      <protection locked="0"/>
    </xf>
    <xf numFmtId="0" fontId="0" fillId="28" borderId="10" xfId="0" applyFill="1" applyBorder="1" applyAlignment="1" applyProtection="1">
      <alignment horizontal="center" vertical="center"/>
      <protection locked="0"/>
    </xf>
    <xf numFmtId="0" fontId="0" fillId="28" borderId="76" xfId="0" applyFont="1" applyFill="1" applyBorder="1" applyAlignment="1" applyProtection="1">
      <alignment horizontal="center" vertical="center"/>
      <protection locked="0"/>
    </xf>
    <xf numFmtId="0" fontId="0" fillId="28" borderId="73" xfId="0" applyFill="1" applyBorder="1" applyAlignment="1" applyProtection="1">
      <alignment horizontal="center" vertical="center"/>
      <protection locked="0"/>
    </xf>
    <xf numFmtId="0" fontId="0" fillId="28" borderId="57" xfId="0" applyFill="1" applyBorder="1" applyAlignment="1" applyProtection="1">
      <alignment horizontal="center" vertical="center"/>
      <protection locked="0"/>
    </xf>
    <xf numFmtId="3" fontId="31" fillId="32" borderId="22" xfId="1" applyNumberFormat="1" applyFont="1" applyFill="1" applyBorder="1" applyAlignment="1" applyProtection="1">
      <alignment horizontal="center"/>
      <protection locked="0"/>
    </xf>
    <xf numFmtId="3" fontId="31" fillId="32" borderId="25" xfId="1" applyNumberFormat="1" applyFont="1" applyFill="1" applyBorder="1" applyAlignment="1" applyProtection="1">
      <alignment horizontal="center"/>
      <protection locked="0"/>
    </xf>
    <xf numFmtId="3" fontId="31" fillId="32" borderId="28" xfId="1" applyNumberFormat="1" applyFont="1" applyFill="1" applyBorder="1" applyAlignment="1" applyProtection="1">
      <alignment horizontal="center"/>
      <protection locked="0"/>
    </xf>
    <xf numFmtId="0" fontId="39" fillId="0" borderId="0" xfId="0" applyFont="1" applyFill="1" applyBorder="1" applyAlignment="1">
      <alignment horizontal="left"/>
    </xf>
    <xf numFmtId="0" fontId="1" fillId="0" borderId="0" xfId="0" applyFont="1" applyAlignment="1">
      <alignment horizontal="center"/>
    </xf>
    <xf numFmtId="0" fontId="0" fillId="0" borderId="0" xfId="0" applyAlignment="1">
      <alignment horizontal="center"/>
    </xf>
    <xf numFmtId="0" fontId="0" fillId="29" borderId="0" xfId="0" applyFill="1"/>
    <xf numFmtId="0" fontId="56" fillId="29" borderId="0" xfId="0" applyFont="1" applyFill="1" applyAlignment="1"/>
    <xf numFmtId="0" fontId="2" fillId="29" borderId="0" xfId="0" applyFont="1" applyFill="1"/>
    <xf numFmtId="0" fontId="8" fillId="29" borderId="0" xfId="0" applyFont="1" applyFill="1"/>
    <xf numFmtId="0" fontId="0" fillId="28" borderId="84" xfId="0" applyFill="1" applyBorder="1"/>
    <xf numFmtId="0" fontId="0" fillId="28" borderId="85" xfId="0" applyFill="1" applyBorder="1"/>
    <xf numFmtId="0" fontId="2" fillId="29" borderId="0" xfId="0" applyFont="1" applyFill="1" applyAlignment="1">
      <alignment horizontal="right"/>
    </xf>
    <xf numFmtId="1" fontId="2" fillId="29" borderId="0" xfId="0" applyNumberFormat="1" applyFont="1" applyFill="1"/>
    <xf numFmtId="1" fontId="2" fillId="29" borderId="0" xfId="0" applyNumberFormat="1" applyFont="1" applyFill="1" applyBorder="1"/>
    <xf numFmtId="0" fontId="0" fillId="28" borderId="92" xfId="0" applyFill="1" applyBorder="1"/>
    <xf numFmtId="0" fontId="0" fillId="28" borderId="35" xfId="0" applyFill="1" applyBorder="1"/>
    <xf numFmtId="2" fontId="2" fillId="29" borderId="0" xfId="0" applyNumberFormat="1" applyFont="1" applyFill="1"/>
    <xf numFmtId="0" fontId="0" fillId="28" borderId="70" xfId="0" applyFill="1" applyBorder="1"/>
    <xf numFmtId="0" fontId="0" fillId="33" borderId="54" xfId="0" applyFill="1" applyBorder="1" applyAlignment="1">
      <alignment horizontal="center"/>
    </xf>
    <xf numFmtId="0" fontId="0" fillId="33" borderId="55" xfId="0" applyFill="1" applyBorder="1" applyAlignment="1">
      <alignment horizontal="center"/>
    </xf>
    <xf numFmtId="9" fontId="0" fillId="12" borderId="74" xfId="3" applyFont="1" applyFill="1" applyBorder="1"/>
    <xf numFmtId="0" fontId="57" fillId="29" borderId="0" xfId="0" applyFont="1" applyFill="1"/>
    <xf numFmtId="0" fontId="58" fillId="29" borderId="0" xfId="0" applyFont="1" applyFill="1" applyBorder="1"/>
    <xf numFmtId="0" fontId="0" fillId="33" borderId="82" xfId="0" applyFill="1" applyBorder="1" applyAlignment="1">
      <alignment horizontal="center"/>
    </xf>
    <xf numFmtId="0" fontId="0" fillId="33" borderId="79" xfId="0" applyFill="1" applyBorder="1" applyAlignment="1">
      <alignment horizontal="center"/>
    </xf>
    <xf numFmtId="0" fontId="0" fillId="33" borderId="56" xfId="0" applyFill="1" applyBorder="1" applyAlignment="1">
      <alignment horizontal="center"/>
    </xf>
    <xf numFmtId="0" fontId="0" fillId="33" borderId="47" xfId="0" applyFill="1" applyBorder="1" applyAlignment="1">
      <alignment horizontal="center"/>
    </xf>
    <xf numFmtId="0" fontId="0" fillId="33" borderId="46" xfId="0" applyFill="1" applyBorder="1" applyAlignment="1">
      <alignment horizontal="center"/>
    </xf>
    <xf numFmtId="0" fontId="0" fillId="2" borderId="82" xfId="0" applyFill="1" applyBorder="1"/>
    <xf numFmtId="0" fontId="0" fillId="12" borderId="79" xfId="0" applyFill="1" applyBorder="1"/>
    <xf numFmtId="0" fontId="59" fillId="29" borderId="0" xfId="0" applyFont="1" applyFill="1" applyBorder="1" applyAlignment="1">
      <alignment horizontal="center"/>
    </xf>
    <xf numFmtId="0" fontId="0" fillId="29" borderId="0" xfId="0" applyFill="1" applyBorder="1"/>
    <xf numFmtId="0" fontId="0" fillId="0" borderId="73" xfId="0" applyBorder="1" applyAlignment="1">
      <alignment horizontal="center"/>
    </xf>
    <xf numFmtId="164" fontId="0" fillId="0" borderId="83" xfId="0" applyNumberFormat="1" applyBorder="1" applyAlignment="1">
      <alignment horizontal="center"/>
    </xf>
    <xf numFmtId="164" fontId="0" fillId="0" borderId="71" xfId="0" applyNumberFormat="1" applyBorder="1" applyAlignment="1">
      <alignment horizontal="center"/>
    </xf>
    <xf numFmtId="164" fontId="0" fillId="0" borderId="74" xfId="0" applyNumberFormat="1" applyBorder="1" applyAlignment="1">
      <alignment horizontal="center"/>
    </xf>
    <xf numFmtId="0" fontId="0" fillId="33" borderId="54" xfId="0" applyFill="1" applyBorder="1" applyAlignment="1">
      <alignment horizontal="left"/>
    </xf>
    <xf numFmtId="0" fontId="0" fillId="28" borderId="38" xfId="0" applyFill="1" applyBorder="1"/>
    <xf numFmtId="0" fontId="0" fillId="12" borderId="81" xfId="0" applyFill="1" applyBorder="1" applyAlignment="1">
      <alignment horizontal="center"/>
    </xf>
    <xf numFmtId="0" fontId="0" fillId="28" borderId="54" xfId="0" applyFill="1" applyBorder="1"/>
    <xf numFmtId="0" fontId="0" fillId="2" borderId="56" xfId="0" applyFill="1" applyBorder="1" applyAlignment="1">
      <alignment horizontal="center"/>
    </xf>
    <xf numFmtId="0" fontId="0" fillId="33" borderId="54" xfId="0" applyFill="1" applyBorder="1" applyAlignment="1"/>
    <xf numFmtId="0" fontId="0" fillId="33" borderId="56" xfId="0" applyFill="1" applyBorder="1" applyAlignment="1"/>
    <xf numFmtId="0" fontId="0" fillId="0" borderId="88" xfId="0" applyBorder="1"/>
    <xf numFmtId="0" fontId="0" fillId="28" borderId="75" xfId="0" applyFill="1" applyBorder="1"/>
    <xf numFmtId="0" fontId="0" fillId="29" borderId="0" xfId="0" applyFill="1" applyBorder="1" applyAlignment="1"/>
    <xf numFmtId="0" fontId="0" fillId="28" borderId="94" xfId="0" applyFill="1" applyBorder="1"/>
    <xf numFmtId="0" fontId="0" fillId="33" borderId="55" xfId="0" applyFill="1" applyBorder="1" applyAlignment="1"/>
    <xf numFmtId="0" fontId="0" fillId="12" borderId="90" xfId="0" applyFill="1" applyBorder="1" applyAlignment="1">
      <alignment horizontal="center"/>
    </xf>
    <xf numFmtId="0" fontId="0" fillId="12" borderId="33" xfId="0" applyFill="1" applyBorder="1" applyAlignment="1">
      <alignment horizontal="center"/>
    </xf>
    <xf numFmtId="0" fontId="0" fillId="12" borderId="76" xfId="0" applyFill="1" applyBorder="1" applyAlignment="1">
      <alignment horizontal="center"/>
    </xf>
    <xf numFmtId="165" fontId="0" fillId="12" borderId="33" xfId="0" applyNumberFormat="1" applyFill="1" applyBorder="1" applyAlignment="1">
      <alignment horizontal="center"/>
    </xf>
    <xf numFmtId="0" fontId="0" fillId="12" borderId="73" xfId="0" applyFill="1" applyBorder="1" applyAlignment="1">
      <alignment horizontal="center"/>
    </xf>
    <xf numFmtId="0" fontId="0" fillId="12" borderId="86" xfId="0" applyFill="1" applyBorder="1" applyAlignment="1">
      <alignment horizontal="center"/>
    </xf>
    <xf numFmtId="1" fontId="0" fillId="12" borderId="74" xfId="0" applyNumberFormat="1" applyFill="1" applyBorder="1" applyAlignment="1">
      <alignment horizontal="center"/>
    </xf>
    <xf numFmtId="0" fontId="6" fillId="0" borderId="0" xfId="4" applyFont="1" applyFill="1" applyBorder="1" applyAlignment="1">
      <alignment horizontal="left"/>
    </xf>
    <xf numFmtId="0" fontId="6" fillId="0" borderId="0" xfId="4" applyFont="1" applyFill="1" applyBorder="1" applyAlignment="1"/>
    <xf numFmtId="0" fontId="6" fillId="0" borderId="0" xfId="4" applyFont="1" applyBorder="1"/>
    <xf numFmtId="0" fontId="7" fillId="0" borderId="0" xfId="4" applyFill="1" applyBorder="1"/>
    <xf numFmtId="165" fontId="7" fillId="0" borderId="0" xfId="4" applyNumberFormat="1" applyFill="1" applyBorder="1"/>
    <xf numFmtId="2" fontId="7" fillId="0" borderId="0" xfId="4" applyNumberFormat="1" applyFill="1" applyBorder="1"/>
    <xf numFmtId="164" fontId="7" fillId="0" borderId="0" xfId="4" applyNumberFormat="1" applyFill="1" applyBorder="1"/>
    <xf numFmtId="0" fontId="0" fillId="12" borderId="79" xfId="0" applyFill="1" applyBorder="1" applyAlignment="1">
      <alignment horizontal="center"/>
    </xf>
    <xf numFmtId="9" fontId="0" fillId="12" borderId="90" xfId="3" applyFont="1" applyFill="1" applyBorder="1" applyAlignment="1">
      <alignment horizontal="center"/>
    </xf>
    <xf numFmtId="9" fontId="0" fillId="12" borderId="74" xfId="3" applyFont="1" applyFill="1" applyBorder="1" applyAlignment="1">
      <alignment horizontal="center"/>
    </xf>
    <xf numFmtId="0" fontId="7" fillId="0" borderId="0" xfId="4" applyBorder="1"/>
    <xf numFmtId="0" fontId="0" fillId="28" borderId="38" xfId="0" applyFill="1" applyBorder="1" applyAlignment="1">
      <alignment horizontal="center"/>
    </xf>
    <xf numFmtId="0" fontId="0" fillId="28" borderId="56" xfId="0" applyFill="1" applyBorder="1"/>
    <xf numFmtId="0" fontId="7" fillId="0" borderId="0" xfId="4"/>
    <xf numFmtId="0" fontId="6" fillId="0" borderId="0" xfId="4" applyFont="1" applyBorder="1" applyAlignment="1">
      <alignment horizontal="center"/>
    </xf>
    <xf numFmtId="164" fontId="7" fillId="0" borderId="0" xfId="4" applyNumberFormat="1" applyBorder="1"/>
    <xf numFmtId="0" fontId="0" fillId="0" borderId="56" xfId="0" applyFill="1" applyBorder="1"/>
    <xf numFmtId="0" fontId="0" fillId="12" borderId="55" xfId="0" applyFill="1" applyBorder="1"/>
    <xf numFmtId="0" fontId="0" fillId="0" borderId="58" xfId="0" applyFill="1" applyBorder="1"/>
    <xf numFmtId="9" fontId="0" fillId="0" borderId="0" xfId="0" applyNumberFormat="1"/>
    <xf numFmtId="9" fontId="0" fillId="0" borderId="1" xfId="3" applyFont="1" applyBorder="1"/>
    <xf numFmtId="0" fontId="0" fillId="25" borderId="80" xfId="0" applyFont="1" applyFill="1" applyBorder="1" applyAlignment="1"/>
    <xf numFmtId="0" fontId="0" fillId="25" borderId="60" xfId="0" applyFont="1" applyFill="1" applyBorder="1" applyAlignment="1"/>
    <xf numFmtId="0" fontId="0" fillId="34" borderId="0" xfId="0" applyFont="1" applyFill="1" applyBorder="1" applyAlignment="1">
      <alignment horizontal="left"/>
    </xf>
    <xf numFmtId="0" fontId="0" fillId="25" borderId="1" xfId="0" applyFont="1" applyFill="1" applyBorder="1" applyAlignment="1">
      <alignment horizontal="left"/>
    </xf>
    <xf numFmtId="0" fontId="0" fillId="33" borderId="82" xfId="0" applyFill="1" applyBorder="1" applyAlignment="1"/>
    <xf numFmtId="0" fontId="0" fillId="33" borderId="46" xfId="0" applyFill="1" applyBorder="1" applyAlignment="1"/>
    <xf numFmtId="0" fontId="0" fillId="33" borderId="79" xfId="0" applyFill="1" applyBorder="1" applyAlignment="1"/>
    <xf numFmtId="0" fontId="0" fillId="0" borderId="84" xfId="0" applyFont="1" applyBorder="1"/>
    <xf numFmtId="0" fontId="8" fillId="0" borderId="91" xfId="0" applyFont="1" applyBorder="1" applyAlignment="1">
      <alignment horizontal="center"/>
    </xf>
    <xf numFmtId="9" fontId="0" fillId="12" borderId="91" xfId="3" applyFont="1" applyFill="1" applyBorder="1"/>
    <xf numFmtId="10" fontId="0" fillId="12" borderId="1" xfId="0" applyNumberFormat="1" applyFill="1" applyBorder="1"/>
    <xf numFmtId="10" fontId="0" fillId="12" borderId="1" xfId="3" applyNumberFormat="1" applyFont="1" applyFill="1" applyBorder="1"/>
    <xf numFmtId="0" fontId="0" fillId="12" borderId="85" xfId="0" applyFill="1" applyBorder="1"/>
    <xf numFmtId="0" fontId="0" fillId="12" borderId="1" xfId="0" applyFill="1" applyBorder="1" applyAlignment="1">
      <alignment horizontal="center"/>
    </xf>
    <xf numFmtId="9" fontId="0" fillId="12" borderId="1" xfId="3" applyFont="1" applyFill="1" applyBorder="1"/>
    <xf numFmtId="0" fontId="0" fillId="12" borderId="1" xfId="0" applyFill="1" applyBorder="1"/>
    <xf numFmtId="9" fontId="0" fillId="12" borderId="33" xfId="3" applyFont="1" applyFill="1" applyBorder="1"/>
    <xf numFmtId="0" fontId="0" fillId="12" borderId="70" xfId="0" applyFill="1" applyBorder="1"/>
    <xf numFmtId="0" fontId="0" fillId="12" borderId="71" xfId="0" applyFill="1" applyBorder="1" applyAlignment="1">
      <alignment horizontal="center"/>
    </xf>
    <xf numFmtId="9" fontId="0" fillId="12" borderId="71" xfId="3" applyFont="1" applyFill="1" applyBorder="1"/>
    <xf numFmtId="0" fontId="0" fillId="12" borderId="71" xfId="0" applyFill="1" applyBorder="1"/>
    <xf numFmtId="0" fontId="0" fillId="0" borderId="82" xfId="0" applyFont="1" applyBorder="1" applyAlignment="1">
      <alignment horizontal="left"/>
    </xf>
    <xf numFmtId="0" fontId="0" fillId="0" borderId="46" xfId="0" applyFont="1" applyBorder="1"/>
    <xf numFmtId="0" fontId="0" fillId="0" borderId="79" xfId="0" applyFont="1" applyBorder="1"/>
    <xf numFmtId="0" fontId="0" fillId="33" borderId="46" xfId="0" applyFill="1" applyBorder="1" applyAlignment="1">
      <alignment horizontal="center" wrapText="1"/>
    </xf>
    <xf numFmtId="0" fontId="0" fillId="0" borderId="92" xfId="0" applyFont="1" applyBorder="1" applyAlignment="1">
      <alignment horizontal="left"/>
    </xf>
    <xf numFmtId="0" fontId="0" fillId="12" borderId="1" xfId="3" applyNumberFormat="1" applyFont="1" applyFill="1" applyBorder="1" applyAlignment="1">
      <alignment horizontal="center"/>
    </xf>
    <xf numFmtId="1" fontId="0" fillId="0" borderId="19" xfId="0" applyNumberFormat="1" applyFont="1" applyBorder="1" applyAlignment="1">
      <alignment horizontal="center"/>
    </xf>
    <xf numFmtId="0" fontId="0" fillId="12" borderId="1" xfId="13" applyNumberFormat="1" applyFont="1" applyFill="1" applyBorder="1" applyAlignment="1">
      <alignment horizontal="center"/>
    </xf>
    <xf numFmtId="168" fontId="0" fillId="0" borderId="87" xfId="0" applyNumberFormat="1" applyFont="1" applyFill="1" applyBorder="1" applyAlignment="1">
      <alignment horizontal="center"/>
    </xf>
    <xf numFmtId="0" fontId="0" fillId="0" borderId="85" xfId="0" applyFont="1" applyBorder="1" applyAlignment="1">
      <alignment horizontal="left"/>
    </xf>
    <xf numFmtId="1" fontId="0" fillId="0" borderId="1" xfId="0" applyNumberFormat="1" applyFont="1" applyBorder="1" applyAlignment="1">
      <alignment horizontal="center"/>
    </xf>
    <xf numFmtId="168" fontId="0" fillId="0" borderId="33" xfId="0" applyNumberFormat="1" applyFont="1" applyFill="1" applyBorder="1" applyAlignment="1">
      <alignment horizontal="center"/>
    </xf>
    <xf numFmtId="0" fontId="0" fillId="0" borderId="35" xfId="0" applyFont="1" applyBorder="1" applyAlignment="1">
      <alignment horizontal="left"/>
    </xf>
    <xf numFmtId="1" fontId="0" fillId="0" borderId="10" xfId="0" applyNumberFormat="1" applyFont="1" applyBorder="1" applyAlignment="1">
      <alignment horizontal="center"/>
    </xf>
    <xf numFmtId="168" fontId="0" fillId="0" borderId="86" xfId="0" applyNumberFormat="1" applyFont="1" applyFill="1" applyBorder="1" applyAlignment="1">
      <alignment horizontal="center"/>
    </xf>
    <xf numFmtId="0" fontId="30" fillId="0" borderId="82" xfId="0" applyFont="1" applyBorder="1"/>
    <xf numFmtId="1" fontId="30" fillId="0" borderId="46" xfId="0" applyNumberFormat="1" applyFont="1" applyBorder="1" applyAlignment="1">
      <alignment horizontal="center"/>
    </xf>
    <xf numFmtId="3" fontId="30" fillId="0" borderId="46" xfId="0" applyNumberFormat="1" applyFont="1" applyBorder="1" applyAlignment="1">
      <alignment horizontal="center"/>
    </xf>
    <xf numFmtId="168" fontId="0" fillId="0" borderId="79" xfId="0" applyNumberFormat="1" applyFont="1" applyFill="1" applyBorder="1" applyAlignment="1">
      <alignment horizontal="center"/>
    </xf>
    <xf numFmtId="0" fontId="0" fillId="33" borderId="88" xfId="0" applyFill="1" applyBorder="1" applyAlignment="1">
      <alignment horizontal="center"/>
    </xf>
    <xf numFmtId="1" fontId="0" fillId="0" borderId="92" xfId="0" applyNumberFormat="1" applyFont="1" applyBorder="1"/>
    <xf numFmtId="1" fontId="0" fillId="0" borderId="19" xfId="0" applyNumberFormat="1" applyFont="1" applyBorder="1"/>
    <xf numFmtId="1" fontId="0" fillId="26" borderId="88" xfId="0" applyNumberFormat="1" applyFont="1" applyFill="1" applyBorder="1" applyAlignment="1">
      <alignment horizontal="center"/>
    </xf>
    <xf numFmtId="0" fontId="0" fillId="33" borderId="75" xfId="0" applyFill="1" applyBorder="1" applyAlignment="1">
      <alignment horizontal="center"/>
    </xf>
    <xf numFmtId="1" fontId="0" fillId="0" borderId="85" xfId="0" applyNumberFormat="1" applyFont="1" applyBorder="1"/>
    <xf numFmtId="1" fontId="0" fillId="0" borderId="1" xfId="0" applyNumberFormat="1" applyFont="1" applyBorder="1"/>
    <xf numFmtId="1" fontId="0" fillId="0" borderId="33" xfId="0" applyNumberFormat="1" applyBorder="1"/>
    <xf numFmtId="1" fontId="0" fillId="26" borderId="75" xfId="0" applyNumberFormat="1" applyFont="1" applyFill="1" applyBorder="1" applyAlignment="1">
      <alignment horizontal="center"/>
    </xf>
    <xf numFmtId="1" fontId="1" fillId="26" borderId="94" xfId="0" applyNumberFormat="1" applyFont="1" applyFill="1" applyBorder="1" applyAlignment="1">
      <alignment horizontal="center"/>
    </xf>
    <xf numFmtId="1" fontId="1" fillId="0" borderId="70" xfId="0" applyNumberFormat="1" applyFont="1" applyBorder="1" applyProtection="1">
      <protection locked="0"/>
    </xf>
    <xf numFmtId="1" fontId="1" fillId="0" borderId="71" xfId="0" applyNumberFormat="1" applyFont="1" applyBorder="1"/>
    <xf numFmtId="1" fontId="12" fillId="33" borderId="94" xfId="0" applyNumberFormat="1" applyFont="1" applyFill="1" applyBorder="1" applyAlignment="1">
      <alignment horizontal="center"/>
    </xf>
    <xf numFmtId="1" fontId="30" fillId="0" borderId="70" xfId="0" applyNumberFormat="1" applyFont="1" applyBorder="1" applyAlignment="1">
      <alignment horizontal="center"/>
    </xf>
    <xf numFmtId="1" fontId="30" fillId="0" borderId="71" xfId="0" applyNumberFormat="1" applyFont="1" applyBorder="1" applyAlignment="1">
      <alignment horizontal="center"/>
    </xf>
    <xf numFmtId="1" fontId="30" fillId="0" borderId="74" xfId="0" applyNumberFormat="1" applyFont="1" applyBorder="1" applyAlignment="1">
      <alignment horizontal="center"/>
    </xf>
    <xf numFmtId="1" fontId="1" fillId="0" borderId="0" xfId="0" applyNumberFormat="1" applyFont="1" applyAlignment="1">
      <alignment vertical="center"/>
    </xf>
    <xf numFmtId="1" fontId="1" fillId="0" borderId="0" xfId="0" applyNumberFormat="1" applyFont="1" applyBorder="1" applyAlignment="1">
      <alignment vertical="center"/>
    </xf>
    <xf numFmtId="1" fontId="22" fillId="26" borderId="67" xfId="0" applyNumberFormat="1" applyFont="1" applyFill="1" applyBorder="1" applyAlignment="1">
      <alignment horizontal="center"/>
    </xf>
    <xf numFmtId="1" fontId="0" fillId="26" borderId="32" xfId="0" applyNumberFormat="1" applyFont="1" applyFill="1" applyBorder="1" applyAlignment="1">
      <alignment horizontal="center"/>
    </xf>
    <xf numFmtId="1" fontId="0" fillId="26" borderId="51" xfId="0" applyNumberFormat="1" applyFont="1" applyFill="1" applyBorder="1" applyAlignment="1">
      <alignment horizontal="center"/>
    </xf>
    <xf numFmtId="1" fontId="0" fillId="26" borderId="77" xfId="0" applyNumberFormat="1" applyFont="1" applyFill="1" applyBorder="1" applyAlignment="1">
      <alignment horizontal="center"/>
    </xf>
    <xf numFmtId="1" fontId="0" fillId="20" borderId="44" xfId="0" applyNumberFormat="1" applyFont="1" applyFill="1" applyBorder="1" applyAlignment="1">
      <alignment horizontal="center"/>
    </xf>
    <xf numFmtId="1" fontId="0" fillId="0" borderId="84" xfId="0" applyNumberFormat="1" applyFont="1" applyBorder="1" applyAlignment="1">
      <alignment horizontal="center"/>
    </xf>
    <xf numFmtId="1" fontId="0" fillId="0" borderId="91" xfId="0" applyNumberFormat="1" applyFont="1" applyBorder="1" applyAlignment="1">
      <alignment horizontal="center"/>
    </xf>
    <xf numFmtId="1" fontId="0" fillId="0" borderId="91" xfId="0" applyNumberFormat="1" applyBorder="1" applyAlignment="1">
      <alignment horizontal="center"/>
    </xf>
    <xf numFmtId="9" fontId="0" fillId="0" borderId="91" xfId="0" applyNumberFormat="1" applyFont="1" applyBorder="1" applyAlignment="1">
      <alignment horizontal="center"/>
    </xf>
    <xf numFmtId="164" fontId="0" fillId="0" borderId="91" xfId="0" applyNumberFormat="1" applyFont="1" applyBorder="1"/>
    <xf numFmtId="1" fontId="0" fillId="0" borderId="90" xfId="0" applyNumberFormat="1" applyFont="1" applyBorder="1"/>
    <xf numFmtId="1" fontId="0" fillId="20" borderId="45" xfId="0" applyNumberFormat="1" applyFont="1" applyFill="1" applyBorder="1" applyAlignment="1">
      <alignment horizontal="center"/>
    </xf>
    <xf numFmtId="1" fontId="31" fillId="0" borderId="85" xfId="0" applyNumberFormat="1" applyFont="1" applyFill="1" applyBorder="1" applyAlignment="1">
      <alignment horizontal="center"/>
    </xf>
    <xf numFmtId="1" fontId="31" fillId="0" borderId="1" xfId="0" applyNumberFormat="1" applyFont="1" applyFill="1" applyBorder="1" applyAlignment="1">
      <alignment horizontal="center"/>
    </xf>
    <xf numFmtId="9" fontId="0" fillId="0" borderId="1" xfId="0" applyNumberFormat="1" applyFont="1" applyBorder="1" applyAlignment="1">
      <alignment horizontal="center"/>
    </xf>
    <xf numFmtId="0" fontId="0" fillId="0" borderId="1" xfId="3" applyNumberFormat="1" applyFont="1" applyBorder="1" applyAlignment="1">
      <alignment horizontal="center"/>
    </xf>
    <xf numFmtId="164" fontId="0" fillId="0" borderId="1" xfId="0" applyNumberFormat="1" applyFont="1" applyBorder="1"/>
    <xf numFmtId="1" fontId="0" fillId="20" borderId="96" xfId="0" applyNumberFormat="1" applyFont="1" applyFill="1" applyBorder="1" applyAlignment="1">
      <alignment horizontal="center"/>
    </xf>
    <xf numFmtId="1" fontId="31" fillId="0" borderId="70" xfId="0" applyNumberFormat="1" applyFont="1" applyFill="1" applyBorder="1" applyAlignment="1">
      <alignment horizontal="center"/>
    </xf>
    <xf numFmtId="1" fontId="31" fillId="0" borderId="71" xfId="0" applyNumberFormat="1" applyFont="1" applyFill="1" applyBorder="1" applyAlignment="1">
      <alignment horizontal="center"/>
    </xf>
    <xf numFmtId="9" fontId="0" fillId="0" borderId="71" xfId="0" applyNumberFormat="1" applyFont="1" applyBorder="1" applyAlignment="1">
      <alignment horizontal="center"/>
    </xf>
    <xf numFmtId="1" fontId="0" fillId="0" borderId="71" xfId="3" applyNumberFormat="1" applyFont="1" applyBorder="1" applyAlignment="1">
      <alignment horizontal="center"/>
    </xf>
    <xf numFmtId="1" fontId="0" fillId="0" borderId="71" xfId="0" applyNumberFormat="1" applyFont="1" applyBorder="1" applyAlignment="1">
      <alignment horizontal="center"/>
    </xf>
    <xf numFmtId="164" fontId="0" fillId="0" borderId="71" xfId="0" applyNumberFormat="1" applyFont="1" applyBorder="1"/>
    <xf numFmtId="1" fontId="0" fillId="0" borderId="74" xfId="0" applyNumberFormat="1" applyBorder="1"/>
    <xf numFmtId="164" fontId="0" fillId="0" borderId="58" xfId="0" applyNumberFormat="1" applyFont="1" applyBorder="1" applyAlignment="1">
      <alignment horizontal="center"/>
    </xf>
    <xf numFmtId="164" fontId="0" fillId="0" borderId="56" xfId="0" applyNumberFormat="1" applyBorder="1" applyAlignment="1">
      <alignment horizontal="center"/>
    </xf>
    <xf numFmtId="164" fontId="0" fillId="0" borderId="55" xfId="0" applyNumberFormat="1" applyBorder="1" applyAlignment="1">
      <alignment horizontal="center"/>
    </xf>
    <xf numFmtId="0" fontId="8" fillId="29" borderId="0" xfId="0" applyFont="1" applyFill="1" applyBorder="1"/>
    <xf numFmtId="0" fontId="60" fillId="29" borderId="0" xfId="0" applyFont="1" applyFill="1"/>
    <xf numFmtId="0" fontId="8" fillId="33" borderId="56" xfId="0" applyFont="1" applyFill="1" applyBorder="1" applyAlignment="1">
      <alignment horizontal="center"/>
    </xf>
    <xf numFmtId="0" fontId="8" fillId="33" borderId="47" xfId="0" applyFont="1" applyFill="1" applyBorder="1" applyAlignment="1">
      <alignment horizontal="center"/>
    </xf>
    <xf numFmtId="0" fontId="8" fillId="33" borderId="46" xfId="0" applyFont="1" applyFill="1" applyBorder="1" applyAlignment="1">
      <alignment horizontal="center"/>
    </xf>
    <xf numFmtId="0" fontId="8" fillId="33" borderId="79" xfId="0" applyFont="1" applyFill="1" applyBorder="1" applyAlignment="1">
      <alignment horizontal="center"/>
    </xf>
    <xf numFmtId="0" fontId="8" fillId="0" borderId="93" xfId="0" applyFont="1" applyBorder="1" applyAlignment="1">
      <alignment horizontal="center"/>
    </xf>
    <xf numFmtId="164" fontId="8" fillId="0" borderId="9" xfId="0" applyNumberFormat="1" applyFont="1" applyBorder="1" applyAlignment="1">
      <alignment horizontal="center"/>
    </xf>
    <xf numFmtId="164" fontId="8" fillId="0" borderId="19" xfId="0" applyNumberFormat="1" applyFont="1" applyBorder="1" applyAlignment="1">
      <alignment horizontal="center"/>
    </xf>
    <xf numFmtId="2" fontId="8" fillId="0" borderId="19" xfId="0" applyNumberFormat="1" applyFont="1" applyBorder="1" applyAlignment="1">
      <alignment horizontal="center"/>
    </xf>
    <xf numFmtId="0" fontId="8" fillId="0" borderId="19" xfId="0" applyFont="1" applyBorder="1"/>
    <xf numFmtId="164" fontId="8" fillId="0" borderId="87" xfId="0" applyNumberFormat="1" applyFont="1" applyBorder="1" applyAlignment="1">
      <alignment horizontal="center"/>
    </xf>
    <xf numFmtId="0" fontId="0" fillId="29" borderId="0" xfId="0" applyFill="1" applyAlignment="1">
      <alignment horizontal="center"/>
    </xf>
    <xf numFmtId="1" fontId="0" fillId="12" borderId="86" xfId="0" applyNumberFormat="1" applyFill="1" applyBorder="1" applyAlignment="1">
      <alignment horizontal="center"/>
    </xf>
    <xf numFmtId="0" fontId="0" fillId="29" borderId="0" xfId="0" applyFill="1" applyBorder="1" applyAlignment="1">
      <alignment horizontal="center"/>
    </xf>
    <xf numFmtId="0" fontId="0" fillId="0" borderId="57" xfId="0" applyBorder="1" applyAlignment="1">
      <alignment horizontal="center"/>
    </xf>
    <xf numFmtId="0" fontId="0" fillId="28" borderId="76" xfId="0" applyFill="1" applyBorder="1" applyAlignment="1">
      <alignment horizontal="center"/>
    </xf>
    <xf numFmtId="0" fontId="0" fillId="28" borderId="73" xfId="0" applyFill="1" applyBorder="1" applyAlignment="1">
      <alignment horizontal="center"/>
    </xf>
    <xf numFmtId="0" fontId="22" fillId="33" borderId="79" xfId="0" applyFont="1" applyFill="1" applyBorder="1" applyAlignment="1">
      <alignment horizontal="left"/>
    </xf>
    <xf numFmtId="164" fontId="1" fillId="0" borderId="71" xfId="0" applyNumberFormat="1" applyFont="1" applyBorder="1"/>
    <xf numFmtId="164" fontId="1" fillId="0" borderId="74" xfId="0" applyNumberFormat="1" applyFont="1" applyBorder="1"/>
    <xf numFmtId="10" fontId="0" fillId="0" borderId="1" xfId="0" applyNumberFormat="1" applyFill="1" applyBorder="1"/>
    <xf numFmtId="0" fontId="0" fillId="15" borderId="1" xfId="0" applyFont="1" applyFill="1" applyBorder="1" applyAlignment="1" applyProtection="1">
      <alignment horizontal="center" vertical="center"/>
      <protection locked="0"/>
    </xf>
    <xf numFmtId="0" fontId="0" fillId="15" borderId="33" xfId="0" applyFont="1" applyFill="1" applyBorder="1" applyAlignment="1" applyProtection="1">
      <alignment horizontal="center" vertical="center"/>
      <protection locked="0"/>
    </xf>
    <xf numFmtId="0" fontId="0" fillId="0" borderId="71" xfId="0" applyFont="1" applyBorder="1" applyAlignment="1" applyProtection="1">
      <alignment horizontal="center" vertical="center"/>
      <protection locked="0"/>
    </xf>
    <xf numFmtId="0" fontId="0" fillId="0" borderId="74" xfId="0" applyFont="1" applyBorder="1" applyAlignment="1" applyProtection="1">
      <alignment horizontal="center" vertical="center"/>
      <protection locked="0"/>
    </xf>
    <xf numFmtId="0" fontId="0" fillId="0" borderId="16" xfId="0" applyFont="1" applyBorder="1" applyAlignment="1" applyProtection="1">
      <alignment horizontal="center" vertical="center"/>
      <protection locked="0"/>
    </xf>
    <xf numFmtId="0" fontId="63" fillId="0" borderId="0" xfId="0" applyFont="1" applyBorder="1" applyAlignment="1">
      <alignment horizontal="right" vertical="center"/>
    </xf>
    <xf numFmtId="0" fontId="63" fillId="0" borderId="1" xfId="0" applyFont="1" applyBorder="1" applyAlignment="1">
      <alignment horizontal="center" vertical="center"/>
    </xf>
    <xf numFmtId="0" fontId="63" fillId="0" borderId="71" xfId="0" applyFont="1" applyBorder="1" applyAlignment="1">
      <alignment horizontal="center" vertical="center"/>
    </xf>
    <xf numFmtId="0" fontId="64" fillId="0" borderId="1" xfId="0" applyFont="1" applyFill="1" applyBorder="1" applyAlignment="1">
      <alignment horizontal="center" vertical="center"/>
    </xf>
    <xf numFmtId="0" fontId="64" fillId="0" borderId="1" xfId="0" applyFont="1" applyBorder="1" applyAlignment="1">
      <alignment horizontal="center" vertical="center"/>
    </xf>
    <xf numFmtId="0" fontId="64" fillId="0" borderId="14" xfId="0" applyFont="1" applyBorder="1" applyAlignment="1">
      <alignment horizontal="center" vertical="center"/>
    </xf>
    <xf numFmtId="0" fontId="63" fillId="0" borderId="0" xfId="0" quotePrefix="1" applyFont="1" applyBorder="1" applyAlignment="1">
      <alignment horizontal="right" vertical="center"/>
    </xf>
    <xf numFmtId="0" fontId="64" fillId="0" borderId="6" xfId="0" applyFont="1" applyFill="1" applyBorder="1" applyAlignment="1" applyProtection="1">
      <alignment horizontal="center" vertical="center"/>
      <protection locked="0"/>
    </xf>
    <xf numFmtId="0" fontId="64" fillId="0" borderId="48" xfId="0" applyFont="1" applyBorder="1" applyAlignment="1">
      <alignment horizontal="center" vertical="center"/>
    </xf>
    <xf numFmtId="0" fontId="63" fillId="0" borderId="16" xfId="0" applyFont="1" applyBorder="1" applyAlignment="1">
      <alignment horizontal="right" vertical="center"/>
    </xf>
    <xf numFmtId="0" fontId="64" fillId="15" borderId="41" xfId="0" applyFont="1" applyFill="1" applyBorder="1" applyAlignment="1" applyProtection="1">
      <alignment horizontal="center" vertical="center"/>
      <protection locked="0"/>
    </xf>
    <xf numFmtId="1" fontId="64" fillId="15" borderId="6" xfId="0" applyNumberFormat="1" applyFont="1" applyFill="1" applyBorder="1" applyAlignment="1" applyProtection="1">
      <alignment horizontal="center" vertical="center"/>
      <protection locked="0"/>
    </xf>
    <xf numFmtId="0" fontId="64" fillId="15" borderId="1" xfId="0" applyFont="1" applyFill="1" applyBorder="1" applyAlignment="1" applyProtection="1">
      <alignment horizontal="center" vertical="center"/>
      <protection locked="0"/>
    </xf>
    <xf numFmtId="0" fontId="64" fillId="15" borderId="33" xfId="0" applyFont="1" applyFill="1" applyBorder="1" applyAlignment="1" applyProtection="1">
      <alignment horizontal="center" vertical="center"/>
      <protection locked="0"/>
    </xf>
    <xf numFmtId="0" fontId="64" fillId="15" borderId="71" xfId="0" applyFont="1" applyFill="1" applyBorder="1" applyAlignment="1" applyProtection="1">
      <alignment horizontal="center" vertical="center"/>
      <protection locked="0"/>
    </xf>
    <xf numFmtId="0" fontId="64" fillId="15" borderId="74" xfId="0" applyFont="1" applyFill="1" applyBorder="1" applyAlignment="1" applyProtection="1">
      <alignment horizontal="center" vertical="center"/>
      <protection locked="0"/>
    </xf>
    <xf numFmtId="0" fontId="66" fillId="0" borderId="71" xfId="0" applyFont="1" applyBorder="1" applyAlignment="1">
      <alignment horizontal="center" vertical="center"/>
    </xf>
    <xf numFmtId="0" fontId="64" fillId="0" borderId="71" xfId="0" applyFont="1" applyBorder="1" applyAlignment="1" applyProtection="1">
      <alignment horizontal="center" vertical="center"/>
      <protection locked="0"/>
    </xf>
    <xf numFmtId="0" fontId="64" fillId="0" borderId="74" xfId="0" applyFont="1" applyBorder="1" applyAlignment="1" applyProtection="1">
      <alignment horizontal="center" vertical="center"/>
      <protection locked="0"/>
    </xf>
    <xf numFmtId="0" fontId="64" fillId="15" borderId="6" xfId="0" applyFont="1" applyFill="1" applyBorder="1" applyAlignment="1" applyProtection="1">
      <alignment horizontal="center" vertical="center"/>
      <protection locked="0"/>
    </xf>
    <xf numFmtId="0" fontId="64" fillId="0" borderId="48" xfId="0" applyFont="1" applyBorder="1"/>
    <xf numFmtId="0" fontId="64" fillId="0" borderId="16" xfId="0" applyFont="1" applyBorder="1"/>
    <xf numFmtId="0" fontId="64" fillId="0" borderId="41" xfId="0" applyFont="1" applyBorder="1"/>
    <xf numFmtId="0" fontId="64" fillId="0" borderId="14" xfId="0" applyFont="1" applyBorder="1" applyAlignment="1">
      <alignment horizontal="center" vertical="center" wrapText="1"/>
    </xf>
    <xf numFmtId="0" fontId="64" fillId="15" borderId="15" xfId="0" applyFont="1" applyFill="1" applyBorder="1" applyAlignment="1" applyProtection="1">
      <alignment horizontal="center" vertical="center"/>
      <protection locked="0"/>
    </xf>
    <xf numFmtId="0" fontId="63" fillId="0" borderId="14" xfId="0" applyFont="1" applyBorder="1" applyAlignment="1">
      <alignment horizontal="center" vertical="center" wrapText="1"/>
    </xf>
    <xf numFmtId="0" fontId="64" fillId="0" borderId="15" xfId="0" applyFont="1" applyBorder="1" applyAlignment="1">
      <alignment horizontal="center" vertical="center"/>
    </xf>
    <xf numFmtId="0" fontId="67" fillId="15" borderId="15" xfId="0" applyFont="1" applyFill="1" applyBorder="1" applyAlignment="1" applyProtection="1">
      <alignment horizontal="center" vertical="center"/>
      <protection locked="0"/>
    </xf>
    <xf numFmtId="0" fontId="64" fillId="0" borderId="33" xfId="0" applyFont="1" applyBorder="1" applyAlignment="1">
      <alignment horizontal="center" vertical="center"/>
    </xf>
    <xf numFmtId="0" fontId="63" fillId="0" borderId="48" xfId="0" applyFont="1" applyBorder="1" applyAlignment="1">
      <alignment horizontal="center" vertical="center" wrapText="1"/>
    </xf>
    <xf numFmtId="0" fontId="64" fillId="0" borderId="17" xfId="0" applyFont="1" applyFill="1" applyBorder="1" applyAlignment="1">
      <alignment horizontal="center" vertical="center"/>
    </xf>
    <xf numFmtId="1" fontId="64" fillId="0" borderId="36" xfId="0" applyNumberFormat="1" applyFont="1" applyFill="1" applyBorder="1" applyAlignment="1" applyProtection="1">
      <alignment horizontal="center" vertical="center"/>
      <protection locked="0"/>
    </xf>
    <xf numFmtId="1" fontId="64" fillId="0" borderId="17" xfId="0" applyNumberFormat="1" applyFont="1" applyFill="1" applyBorder="1" applyAlignment="1" applyProtection="1">
      <alignment horizontal="center" vertical="center"/>
      <protection locked="0"/>
    </xf>
    <xf numFmtId="0" fontId="64" fillId="0" borderId="90" xfId="0" applyFont="1" applyFill="1" applyBorder="1" applyAlignment="1" applyProtection="1">
      <alignment horizontal="center"/>
      <protection locked="0"/>
    </xf>
    <xf numFmtId="0" fontId="64" fillId="0" borderId="48" xfId="0" applyFont="1" applyBorder="1" applyAlignment="1">
      <alignment horizontal="center" vertical="center" wrapText="1"/>
    </xf>
    <xf numFmtId="1" fontId="64" fillId="15" borderId="17" xfId="0" applyNumberFormat="1" applyFont="1" applyFill="1" applyBorder="1" applyAlignment="1" applyProtection="1">
      <alignment horizontal="center" vertical="center"/>
      <protection locked="0"/>
    </xf>
    <xf numFmtId="0" fontId="0" fillId="12" borderId="2" xfId="0" applyFont="1" applyFill="1" applyBorder="1" applyAlignment="1" applyProtection="1">
      <alignment horizontal="center" vertical="center"/>
      <protection locked="0"/>
    </xf>
    <xf numFmtId="0" fontId="0" fillId="12" borderId="5" xfId="0" applyFont="1" applyFill="1" applyBorder="1" applyAlignment="1" applyProtection="1">
      <alignment horizontal="center" vertical="center"/>
      <protection locked="0"/>
    </xf>
    <xf numFmtId="0" fontId="0" fillId="12" borderId="40" xfId="0" applyFont="1" applyFill="1" applyBorder="1" applyAlignment="1" applyProtection="1">
      <alignment horizontal="center" vertical="center"/>
      <protection locked="0"/>
    </xf>
    <xf numFmtId="0" fontId="0" fillId="12" borderId="15" xfId="0" applyFont="1" applyFill="1" applyBorder="1" applyAlignment="1" applyProtection="1">
      <alignment horizontal="center" vertical="center"/>
      <protection locked="0"/>
    </xf>
    <xf numFmtId="0" fontId="0" fillId="12" borderId="17" xfId="0" applyFont="1" applyFill="1" applyBorder="1" applyAlignment="1" applyProtection="1">
      <alignment horizontal="center" vertical="center"/>
      <protection locked="0"/>
    </xf>
    <xf numFmtId="0" fontId="64" fillId="0" borderId="14" xfId="0" applyFont="1" applyBorder="1" applyAlignment="1" applyProtection="1">
      <alignment horizontal="center" vertical="center"/>
    </xf>
    <xf numFmtId="0" fontId="63" fillId="0" borderId="0" xfId="0" applyFont="1" applyBorder="1" applyAlignment="1" applyProtection="1">
      <alignment horizontal="right" vertical="center"/>
    </xf>
    <xf numFmtId="0" fontId="0" fillId="12" borderId="3" xfId="0" applyNumberFormat="1" applyFill="1" applyBorder="1" applyAlignment="1" applyProtection="1">
      <alignment horizontal="center" vertical="center"/>
      <protection locked="0"/>
    </xf>
    <xf numFmtId="0" fontId="0" fillId="12" borderId="0" xfId="0" applyNumberFormat="1" applyFill="1" applyBorder="1" applyAlignment="1" applyProtection="1">
      <alignment horizontal="center" vertical="center"/>
      <protection locked="0"/>
    </xf>
    <xf numFmtId="0" fontId="1" fillId="2" borderId="31" xfId="0" applyFont="1" applyFill="1" applyBorder="1" applyAlignment="1" applyProtection="1">
      <alignment horizontal="center" vertical="center"/>
    </xf>
    <xf numFmtId="0" fontId="1" fillId="2" borderId="12" xfId="0" applyFont="1" applyFill="1" applyBorder="1" applyAlignment="1" applyProtection="1">
      <alignment horizontal="center" vertical="center"/>
    </xf>
    <xf numFmtId="0" fontId="1" fillId="30" borderId="3" xfId="0" applyFont="1" applyFill="1" applyBorder="1" applyAlignment="1">
      <alignment horizontal="center"/>
    </xf>
    <xf numFmtId="0" fontId="1" fillId="30" borderId="0" xfId="0" applyFont="1" applyFill="1" applyBorder="1" applyAlignment="1">
      <alignment horizontal="center"/>
    </xf>
    <xf numFmtId="0" fontId="0" fillId="0" borderId="0" xfId="0" applyAlignment="1">
      <alignment horizontal="center"/>
    </xf>
    <xf numFmtId="0" fontId="34" fillId="4" borderId="2" xfId="0" applyFont="1" applyFill="1" applyBorder="1" applyAlignment="1">
      <alignment horizontal="center"/>
    </xf>
    <xf numFmtId="0" fontId="34" fillId="4" borderId="10" xfId="0" applyFont="1" applyFill="1" applyBorder="1" applyAlignment="1">
      <alignment horizontal="center"/>
    </xf>
    <xf numFmtId="0" fontId="34" fillId="4" borderId="4" xfId="0" applyFont="1" applyFill="1" applyBorder="1" applyAlignment="1">
      <alignment horizontal="center"/>
    </xf>
    <xf numFmtId="0" fontId="38" fillId="0" borderId="10" xfId="0" applyFont="1" applyFill="1" applyBorder="1" applyAlignment="1">
      <alignment horizontal="center" vertical="center"/>
    </xf>
    <xf numFmtId="0" fontId="0" fillId="12" borderId="86" xfId="0" applyFont="1" applyFill="1" applyBorder="1" applyAlignment="1" applyProtection="1">
      <alignment horizontal="center" vertical="center"/>
      <protection locked="0"/>
    </xf>
    <xf numFmtId="0" fontId="0" fillId="12" borderId="78" xfId="0" applyFont="1" applyFill="1" applyBorder="1" applyAlignment="1" applyProtection="1">
      <alignment horizontal="center" vertical="center"/>
      <protection locked="0"/>
    </xf>
    <xf numFmtId="0" fontId="0" fillId="12" borderId="87" xfId="0" applyFont="1" applyFill="1" applyBorder="1" applyAlignment="1" applyProtection="1">
      <alignment horizontal="center" vertical="center"/>
      <protection locked="0"/>
    </xf>
    <xf numFmtId="0" fontId="1" fillId="33" borderId="54" xfId="0" applyFont="1" applyFill="1" applyBorder="1" applyAlignment="1"/>
    <xf numFmtId="0" fontId="1" fillId="33" borderId="82" xfId="0" applyFont="1" applyFill="1" applyBorder="1" applyAlignment="1">
      <alignment horizontal="center"/>
    </xf>
    <xf numFmtId="0" fontId="2" fillId="0" borderId="0" xfId="0" applyFont="1" applyBorder="1"/>
    <xf numFmtId="0" fontId="2" fillId="0" borderId="0" xfId="0" applyFont="1" applyBorder="1" applyAlignment="1">
      <alignment horizontal="center"/>
    </xf>
    <xf numFmtId="0" fontId="2" fillId="0" borderId="0" xfId="0" applyFont="1" applyAlignment="1">
      <alignment horizontal="center"/>
    </xf>
    <xf numFmtId="165" fontId="2" fillId="29" borderId="0" xfId="0" applyNumberFormat="1" applyFont="1" applyFill="1" applyBorder="1" applyAlignment="1">
      <alignment horizontal="center"/>
    </xf>
    <xf numFmtId="164" fontId="2" fillId="29" borderId="0" xfId="0" applyNumberFormat="1" applyFont="1" applyFill="1" applyBorder="1" applyAlignment="1">
      <alignment horizontal="center"/>
    </xf>
    <xf numFmtId="0" fontId="2" fillId="0" borderId="0" xfId="0" applyFont="1" applyAlignment="1">
      <alignment horizontal="right"/>
    </xf>
    <xf numFmtId="0" fontId="0" fillId="30" borderId="7" xfId="0" applyFont="1" applyFill="1" applyBorder="1" applyAlignment="1">
      <alignment horizontal="center"/>
    </xf>
    <xf numFmtId="0" fontId="0" fillId="30" borderId="8" xfId="0" applyFont="1" applyFill="1" applyBorder="1" applyAlignment="1">
      <alignment horizontal="center"/>
    </xf>
    <xf numFmtId="0" fontId="1" fillId="30" borderId="9" xfId="0" applyFont="1" applyFill="1" applyBorder="1" applyAlignment="1">
      <alignment horizontal="center"/>
    </xf>
    <xf numFmtId="0" fontId="69" fillId="4" borderId="0" xfId="0" applyFont="1" applyFill="1"/>
    <xf numFmtId="0" fontId="10" fillId="4" borderId="0" xfId="0" applyFont="1" applyFill="1"/>
    <xf numFmtId="0" fontId="0" fillId="4" borderId="0" xfId="0" applyFont="1" applyFill="1"/>
    <xf numFmtId="0" fontId="31" fillId="32" borderId="49" xfId="1" applyFont="1" applyFill="1" applyBorder="1" applyProtection="1">
      <protection locked="0"/>
    </xf>
    <xf numFmtId="0" fontId="31" fillId="32" borderId="37" xfId="1" applyFont="1" applyFill="1" applyBorder="1" applyProtection="1">
      <protection locked="0"/>
    </xf>
    <xf numFmtId="0" fontId="29" fillId="35" borderId="0" xfId="1" applyFont="1" applyFill="1" applyProtection="1"/>
    <xf numFmtId="0" fontId="31" fillId="35" borderId="0" xfId="1" applyFont="1" applyFill="1" applyProtection="1"/>
    <xf numFmtId="0" fontId="0" fillId="35" borderId="0" xfId="0" applyFill="1"/>
    <xf numFmtId="0" fontId="71" fillId="35" borderId="0" xfId="1" applyFont="1" applyFill="1" applyProtection="1"/>
    <xf numFmtId="0" fontId="71" fillId="35" borderId="0" xfId="0" applyFont="1" applyFill="1"/>
    <xf numFmtId="0" fontId="71" fillId="35" borderId="0" xfId="1" applyFont="1" applyFill="1" applyBorder="1" applyProtection="1"/>
    <xf numFmtId="0" fontId="71" fillId="35" borderId="0" xfId="0" applyFont="1" applyFill="1" applyBorder="1"/>
    <xf numFmtId="0" fontId="72" fillId="35" borderId="0" xfId="1" applyFont="1" applyFill="1" applyBorder="1" applyProtection="1"/>
    <xf numFmtId="0" fontId="72" fillId="35" borderId="0" xfId="1" applyFont="1" applyFill="1" applyBorder="1" applyAlignment="1" applyProtection="1">
      <alignment horizontal="center"/>
    </xf>
    <xf numFmtId="2" fontId="71" fillId="35" borderId="0" xfId="1" applyNumberFormat="1" applyFont="1" applyFill="1" applyBorder="1" applyProtection="1"/>
    <xf numFmtId="2" fontId="72" fillId="35" borderId="0" xfId="1" applyNumberFormat="1" applyFont="1" applyFill="1" applyBorder="1" applyAlignment="1" applyProtection="1">
      <alignment horizontal="center"/>
    </xf>
    <xf numFmtId="0" fontId="73" fillId="35" borderId="0" xfId="1" applyFont="1" applyFill="1" applyProtection="1"/>
    <xf numFmtId="3" fontId="71" fillId="35" borderId="0" xfId="1" applyNumberFormat="1" applyFont="1" applyFill="1" applyBorder="1" applyAlignment="1" applyProtection="1">
      <alignment horizontal="right"/>
      <protection locked="0"/>
    </xf>
    <xf numFmtId="3" fontId="71" fillId="35" borderId="0" xfId="1" applyNumberFormat="1" applyFont="1" applyFill="1" applyBorder="1" applyProtection="1">
      <protection locked="0"/>
    </xf>
    <xf numFmtId="2" fontId="72" fillId="35" borderId="0" xfId="1" applyNumberFormat="1" applyFont="1" applyFill="1" applyBorder="1" applyProtection="1"/>
    <xf numFmtId="168" fontId="71" fillId="35" borderId="0" xfId="2" applyNumberFormat="1" applyFont="1" applyFill="1" applyBorder="1" applyAlignment="1" applyProtection="1">
      <alignment horizontal="center"/>
    </xf>
    <xf numFmtId="168" fontId="71" fillId="35" borderId="0" xfId="2" applyNumberFormat="1" applyFont="1" applyFill="1" applyBorder="1" applyProtection="1"/>
    <xf numFmtId="169" fontId="71" fillId="35" borderId="0" xfId="2" applyNumberFormat="1" applyFont="1" applyFill="1" applyBorder="1" applyProtection="1"/>
    <xf numFmtId="3" fontId="71" fillId="35" borderId="0" xfId="1" applyNumberFormat="1" applyFont="1" applyFill="1" applyBorder="1" applyProtection="1"/>
    <xf numFmtId="164" fontId="71" fillId="35" borderId="0" xfId="1" applyNumberFormat="1" applyFont="1" applyFill="1" applyBorder="1" applyAlignment="1" applyProtection="1">
      <alignment horizontal="center"/>
    </xf>
    <xf numFmtId="164" fontId="71" fillId="35" borderId="0" xfId="1" applyNumberFormat="1" applyFont="1" applyFill="1" applyBorder="1" applyAlignment="1" applyProtection="1">
      <alignment horizontal="right"/>
    </xf>
    <xf numFmtId="169" fontId="71" fillId="35" borderId="0" xfId="1" applyNumberFormat="1" applyFont="1" applyFill="1" applyBorder="1" applyAlignment="1" applyProtection="1">
      <alignment horizontal="right"/>
    </xf>
    <xf numFmtId="1" fontId="71" fillId="35" borderId="0" xfId="1" applyNumberFormat="1" applyFont="1" applyFill="1" applyBorder="1" applyAlignment="1" applyProtection="1">
      <alignment horizontal="right"/>
    </xf>
    <xf numFmtId="2" fontId="71" fillId="35" borderId="0" xfId="1" applyNumberFormat="1" applyFont="1" applyFill="1" applyProtection="1"/>
    <xf numFmtId="2" fontId="73" fillId="35" borderId="0" xfId="1" applyNumberFormat="1" applyFont="1" applyFill="1" applyProtection="1"/>
    <xf numFmtId="168" fontId="71" fillId="35" borderId="0" xfId="1" applyNumberFormat="1" applyFont="1" applyFill="1" applyBorder="1" applyProtection="1">
      <protection locked="0"/>
    </xf>
    <xf numFmtId="3" fontId="71" fillId="35" borderId="0" xfId="2" applyNumberFormat="1" applyFont="1" applyFill="1" applyBorder="1" applyProtection="1"/>
    <xf numFmtId="164" fontId="71" fillId="35" borderId="0" xfId="1" applyNumberFormat="1" applyFont="1" applyFill="1" applyBorder="1" applyProtection="1"/>
    <xf numFmtId="2" fontId="71" fillId="35" borderId="0" xfId="1" applyNumberFormat="1" applyFont="1" applyFill="1" applyBorder="1" applyAlignment="1" applyProtection="1">
      <alignment horizontal="right"/>
    </xf>
    <xf numFmtId="168" fontId="71" fillId="35" borderId="0" xfId="1" applyNumberFormat="1" applyFont="1" applyFill="1" applyBorder="1" applyAlignment="1" applyProtection="1">
      <alignment horizontal="center"/>
    </xf>
    <xf numFmtId="2" fontId="71" fillId="35" borderId="0" xfId="1" applyNumberFormat="1" applyFont="1" applyFill="1" applyBorder="1" applyAlignment="1" applyProtection="1">
      <alignment horizontal="center"/>
    </xf>
    <xf numFmtId="168" fontId="71" fillId="35" borderId="0" xfId="1" applyNumberFormat="1" applyFont="1" applyFill="1" applyBorder="1" applyProtection="1"/>
    <xf numFmtId="165" fontId="71" fillId="35" borderId="0" xfId="1" applyNumberFormat="1" applyFont="1" applyFill="1" applyBorder="1" applyProtection="1"/>
    <xf numFmtId="164" fontId="71" fillId="35" borderId="0" xfId="1" applyNumberFormat="1" applyFont="1" applyFill="1" applyBorder="1" applyProtection="1">
      <protection locked="0"/>
    </xf>
    <xf numFmtId="0" fontId="71" fillId="35" borderId="0" xfId="1" applyFont="1" applyFill="1" applyBorder="1" applyProtection="1">
      <protection locked="0"/>
    </xf>
    <xf numFmtId="0" fontId="72" fillId="35" borderId="0" xfId="0" applyFont="1" applyFill="1" applyBorder="1"/>
    <xf numFmtId="0" fontId="71" fillId="35" borderId="0" xfId="0" applyFont="1" applyFill="1" applyBorder="1" applyAlignment="1">
      <alignment horizontal="center"/>
    </xf>
    <xf numFmtId="1" fontId="71" fillId="35" borderId="0" xfId="0" applyNumberFormat="1" applyFont="1" applyFill="1" applyBorder="1" applyAlignment="1">
      <alignment horizontal="center"/>
    </xf>
    <xf numFmtId="3" fontId="71" fillId="35" borderId="0" xfId="0" applyNumberFormat="1" applyFont="1" applyFill="1" applyBorder="1" applyAlignment="1">
      <alignment horizontal="center"/>
    </xf>
    <xf numFmtId="0" fontId="72" fillId="35" borderId="0" xfId="0" applyFont="1" applyFill="1" applyBorder="1" applyAlignment="1">
      <alignment horizontal="center"/>
    </xf>
    <xf numFmtId="1" fontId="72" fillId="35" borderId="0" xfId="0" applyNumberFormat="1" applyFont="1" applyFill="1" applyBorder="1" applyAlignment="1">
      <alignment horizontal="center"/>
    </xf>
    <xf numFmtId="0" fontId="71" fillId="35" borderId="0" xfId="1" applyFont="1" applyFill="1" applyProtection="1">
      <protection locked="0" hidden="1"/>
    </xf>
    <xf numFmtId="0" fontId="0" fillId="35" borderId="0" xfId="0" applyFont="1" applyFill="1"/>
    <xf numFmtId="0" fontId="71" fillId="35" borderId="0" xfId="0" applyFont="1" applyFill="1" applyAlignment="1">
      <alignment horizontal="center"/>
    </xf>
    <xf numFmtId="0" fontId="71" fillId="35" borderId="0" xfId="0" applyFont="1" applyFill="1" applyBorder="1" applyAlignment="1">
      <alignment horizontal="right"/>
    </xf>
    <xf numFmtId="0" fontId="72" fillId="35" borderId="0" xfId="0" applyFont="1" applyFill="1" applyBorder="1" applyAlignment="1">
      <alignment horizontal="right"/>
    </xf>
    <xf numFmtId="0" fontId="71" fillId="35" borderId="0" xfId="0" applyFont="1" applyFill="1" applyAlignment="1">
      <alignment horizontal="right"/>
    </xf>
    <xf numFmtId="0" fontId="72" fillId="35" borderId="0" xfId="0" applyFont="1" applyFill="1" applyBorder="1" applyAlignment="1">
      <alignment horizontal="left"/>
    </xf>
    <xf numFmtId="165" fontId="71" fillId="35" borderId="0" xfId="0" applyNumberFormat="1" applyFont="1" applyFill="1" applyBorder="1" applyAlignment="1">
      <alignment horizontal="center"/>
    </xf>
    <xf numFmtId="2" fontId="71" fillId="35" borderId="0" xfId="0" applyNumberFormat="1" applyFont="1" applyFill="1" applyBorder="1" applyAlignment="1">
      <alignment horizontal="center"/>
    </xf>
    <xf numFmtId="0" fontId="71" fillId="35" borderId="0" xfId="0" applyFont="1" applyFill="1" applyBorder="1" applyAlignment="1">
      <alignment horizontal="left"/>
    </xf>
    <xf numFmtId="0" fontId="71" fillId="35" borderId="0" xfId="0" applyFont="1" applyFill="1" applyAlignment="1">
      <alignment horizontal="left"/>
    </xf>
    <xf numFmtId="2" fontId="72" fillId="35" borderId="0" xfId="0" applyNumberFormat="1" applyFont="1" applyFill="1" applyBorder="1" applyAlignment="1">
      <alignment horizontal="center"/>
    </xf>
    <xf numFmtId="165" fontId="72" fillId="35" borderId="0" xfId="0" applyNumberFormat="1" applyFont="1" applyFill="1" applyBorder="1" applyAlignment="1">
      <alignment horizontal="center"/>
    </xf>
    <xf numFmtId="0" fontId="71" fillId="29" borderId="0" xfId="0" applyFont="1" applyFill="1"/>
    <xf numFmtId="0" fontId="75" fillId="29" borderId="0" xfId="0" applyFont="1" applyFill="1"/>
    <xf numFmtId="0" fontId="76" fillId="29" borderId="0" xfId="0" applyFont="1" applyFill="1"/>
    <xf numFmtId="0" fontId="71" fillId="29" borderId="0" xfId="1" applyFont="1" applyFill="1" applyProtection="1"/>
    <xf numFmtId="0" fontId="0" fillId="12" borderId="72" xfId="0" applyFont="1" applyFill="1" applyBorder="1" applyAlignment="1" applyProtection="1">
      <alignment horizontal="center"/>
      <protection locked="0"/>
    </xf>
    <xf numFmtId="0" fontId="0" fillId="28" borderId="70" xfId="0" applyFont="1" applyFill="1" applyBorder="1" applyAlignment="1" applyProtection="1">
      <alignment horizontal="center"/>
      <protection locked="0"/>
    </xf>
    <xf numFmtId="0" fontId="0" fillId="28" borderId="71" xfId="0" applyFont="1" applyFill="1" applyBorder="1" applyAlignment="1" applyProtection="1">
      <alignment horizontal="center"/>
      <protection locked="0"/>
    </xf>
    <xf numFmtId="0" fontId="0" fillId="12" borderId="4" xfId="0" applyFont="1" applyFill="1" applyBorder="1" applyAlignment="1" applyProtection="1">
      <alignment horizontal="center"/>
      <protection locked="0"/>
    </xf>
    <xf numFmtId="0" fontId="0" fillId="12" borderId="6" xfId="0" applyFont="1" applyFill="1" applyBorder="1" applyAlignment="1" applyProtection="1">
      <alignment horizontal="center"/>
      <protection locked="0"/>
    </xf>
    <xf numFmtId="0" fontId="0" fillId="12" borderId="9" xfId="0" applyFont="1" applyFill="1" applyBorder="1" applyAlignment="1" applyProtection="1">
      <alignment horizontal="center"/>
      <protection locked="0"/>
    </xf>
    <xf numFmtId="0" fontId="0" fillId="12" borderId="1" xfId="0" applyFont="1" applyFill="1" applyBorder="1" applyAlignment="1" applyProtection="1">
      <alignment horizontal="center"/>
      <protection locked="0"/>
    </xf>
    <xf numFmtId="0" fontId="0" fillId="28" borderId="2" xfId="0" applyFont="1" applyFill="1" applyBorder="1" applyAlignment="1" applyProtection="1">
      <alignment horizontal="left"/>
      <protection locked="0"/>
    </xf>
    <xf numFmtId="0" fontId="0" fillId="28" borderId="10" xfId="0" applyFont="1" applyFill="1" applyBorder="1" applyAlignment="1" applyProtection="1">
      <alignment horizontal="center"/>
      <protection locked="0"/>
    </xf>
    <xf numFmtId="0" fontId="0" fillId="28" borderId="5" xfId="0" applyFont="1" applyFill="1" applyBorder="1" applyAlignment="1" applyProtection="1">
      <alignment horizontal="left"/>
      <protection locked="0"/>
    </xf>
    <xf numFmtId="0" fontId="0" fillId="28" borderId="18" xfId="0" applyFont="1" applyFill="1" applyBorder="1" applyAlignment="1" applyProtection="1">
      <alignment horizontal="center"/>
      <protection locked="0"/>
    </xf>
    <xf numFmtId="0" fontId="0" fillId="28" borderId="7" xfId="0" applyFill="1" applyBorder="1" applyAlignment="1" applyProtection="1">
      <alignment horizontal="left"/>
      <protection locked="0"/>
    </xf>
    <xf numFmtId="0" fontId="0" fillId="28" borderId="19" xfId="0" applyFont="1" applyFill="1" applyBorder="1" applyAlignment="1" applyProtection="1">
      <alignment horizontal="center"/>
      <protection locked="0"/>
    </xf>
    <xf numFmtId="0" fontId="45" fillId="30" borderId="0" xfId="1" applyFont="1" applyFill="1" applyProtection="1"/>
    <xf numFmtId="0" fontId="46" fillId="30" borderId="0" xfId="0" applyFont="1" applyFill="1" applyProtection="1"/>
    <xf numFmtId="0" fontId="46" fillId="0" borderId="0" xfId="0" applyFont="1" applyFill="1" applyProtection="1"/>
    <xf numFmtId="0" fontId="19" fillId="0" borderId="0" xfId="0" applyFont="1" applyProtection="1"/>
    <xf numFmtId="0" fontId="71" fillId="35" borderId="0" xfId="0" applyFont="1" applyFill="1" applyProtection="1"/>
    <xf numFmtId="0" fontId="32" fillId="30" borderId="0" xfId="1" applyFont="1" applyFill="1" applyProtection="1"/>
    <xf numFmtId="0" fontId="33" fillId="30" borderId="0" xfId="1" applyFont="1" applyFill="1" applyProtection="1"/>
    <xf numFmtId="3" fontId="30" fillId="30" borderId="10" xfId="1" applyNumberFormat="1" applyFont="1" applyFill="1" applyBorder="1" applyAlignment="1" applyProtection="1">
      <alignment horizontal="center"/>
    </xf>
    <xf numFmtId="0" fontId="30" fillId="30" borderId="10" xfId="1" applyFont="1" applyFill="1" applyBorder="1" applyAlignment="1" applyProtection="1">
      <alignment horizontal="center"/>
    </xf>
    <xf numFmtId="0" fontId="30" fillId="30" borderId="10" xfId="1" applyFont="1" applyFill="1" applyBorder="1" applyProtection="1"/>
    <xf numFmtId="3" fontId="30" fillId="30" borderId="18" xfId="1" applyNumberFormat="1" applyFont="1" applyFill="1" applyBorder="1" applyAlignment="1" applyProtection="1">
      <alignment horizontal="center"/>
    </xf>
    <xf numFmtId="0" fontId="30" fillId="30" borderId="18" xfId="1" applyFont="1" applyFill="1" applyBorder="1" applyAlignment="1" applyProtection="1">
      <alignment horizontal="center"/>
    </xf>
    <xf numFmtId="0" fontId="12" fillId="30" borderId="18" xfId="1" applyFont="1" applyFill="1" applyBorder="1" applyAlignment="1" applyProtection="1">
      <alignment horizontal="center"/>
    </xf>
    <xf numFmtId="0" fontId="1" fillId="0" borderId="11" xfId="0" applyFont="1" applyFill="1" applyBorder="1" applyProtection="1"/>
    <xf numFmtId="0" fontId="30" fillId="0" borderId="13" xfId="1" applyFont="1" applyFill="1" applyBorder="1" applyProtection="1"/>
    <xf numFmtId="3" fontId="31" fillId="0" borderId="51" xfId="1" applyNumberFormat="1" applyFont="1" applyFill="1" applyBorder="1" applyAlignment="1" applyProtection="1">
      <alignment horizontal="center"/>
    </xf>
    <xf numFmtId="3" fontId="31" fillId="0" borderId="77" xfId="1" applyNumberFormat="1" applyFont="1" applyFill="1" applyBorder="1" applyAlignment="1" applyProtection="1">
      <alignment horizontal="center"/>
    </xf>
    <xf numFmtId="0" fontId="1" fillId="0" borderId="14" xfId="0" applyFont="1" applyFill="1" applyBorder="1" applyProtection="1"/>
    <xf numFmtId="0" fontId="30" fillId="0" borderId="15" xfId="1" applyFont="1" applyFill="1" applyBorder="1" applyProtection="1"/>
    <xf numFmtId="3" fontId="31" fillId="0" borderId="18" xfId="1" applyNumberFormat="1" applyFont="1" applyFill="1" applyBorder="1" applyAlignment="1" applyProtection="1">
      <alignment horizontal="center"/>
    </xf>
    <xf numFmtId="3" fontId="31" fillId="0" borderId="78" xfId="1" applyNumberFormat="1" applyFont="1" applyFill="1" applyBorder="1" applyAlignment="1" applyProtection="1">
      <alignment horizontal="center"/>
    </xf>
    <xf numFmtId="0" fontId="1" fillId="0" borderId="14" xfId="0" applyFont="1" applyFill="1" applyBorder="1" applyAlignment="1" applyProtection="1">
      <alignment horizontal="left"/>
    </xf>
    <xf numFmtId="3" fontId="31" fillId="0" borderId="18" xfId="1" applyNumberFormat="1" applyFont="1" applyBorder="1" applyAlignment="1" applyProtection="1">
      <alignment horizontal="center"/>
    </xf>
    <xf numFmtId="3" fontId="31" fillId="0" borderId="78" xfId="1" applyNumberFormat="1" applyFont="1" applyBorder="1" applyAlignment="1" applyProtection="1">
      <alignment horizontal="center"/>
    </xf>
    <xf numFmtId="0" fontId="1" fillId="0" borderId="54" xfId="0" applyFont="1" applyFill="1" applyBorder="1" applyProtection="1"/>
    <xf numFmtId="0" fontId="30" fillId="0" borderId="55" xfId="1" applyFont="1" applyFill="1" applyBorder="1" applyProtection="1"/>
    <xf numFmtId="0" fontId="31" fillId="0" borderId="82" xfId="1" applyFont="1" applyFill="1" applyBorder="1" applyProtection="1"/>
    <xf numFmtId="3" fontId="30" fillId="0" borderId="46" xfId="1" applyNumberFormat="1" applyFont="1" applyFill="1" applyBorder="1" applyAlignment="1" applyProtection="1">
      <alignment horizontal="center"/>
    </xf>
    <xf numFmtId="164" fontId="30" fillId="0" borderId="46" xfId="1" applyNumberFormat="1" applyFont="1" applyFill="1" applyBorder="1" applyAlignment="1" applyProtection="1">
      <alignment horizontal="center"/>
    </xf>
    <xf numFmtId="2" fontId="30" fillId="0" borderId="46" xfId="1" applyNumberFormat="1" applyFont="1" applyFill="1" applyBorder="1" applyAlignment="1" applyProtection="1">
      <alignment horizontal="center"/>
    </xf>
    <xf numFmtId="3" fontId="30" fillId="0" borderId="46" xfId="1" applyNumberFormat="1" applyFont="1" applyBorder="1" applyAlignment="1" applyProtection="1">
      <alignment horizontal="center"/>
    </xf>
    <xf numFmtId="3" fontId="30" fillId="0" borderId="79" xfId="1" applyNumberFormat="1" applyFont="1" applyBorder="1" applyAlignment="1" applyProtection="1">
      <alignment horizontal="center"/>
    </xf>
    <xf numFmtId="3" fontId="30" fillId="0" borderId="79" xfId="1" applyNumberFormat="1" applyFont="1" applyFill="1" applyBorder="1" applyAlignment="1" applyProtection="1">
      <alignment horizontal="center"/>
    </xf>
    <xf numFmtId="3" fontId="31" fillId="0" borderId="51" xfId="1" applyNumberFormat="1" applyFont="1" applyBorder="1" applyAlignment="1" applyProtection="1">
      <alignment horizontal="center"/>
    </xf>
    <xf numFmtId="3" fontId="31" fillId="0" borderId="77" xfId="1" applyNumberFormat="1" applyFont="1" applyBorder="1" applyAlignment="1" applyProtection="1">
      <alignment horizontal="center"/>
    </xf>
    <xf numFmtId="0" fontId="2" fillId="29" borderId="0" xfId="0" applyFont="1" applyFill="1" applyBorder="1" applyProtection="1"/>
    <xf numFmtId="0" fontId="21" fillId="29" borderId="0" xfId="1" applyFont="1" applyFill="1" applyBorder="1" applyProtection="1"/>
    <xf numFmtId="0" fontId="2" fillId="31" borderId="0" xfId="1" applyFont="1" applyFill="1" applyBorder="1" applyProtection="1"/>
    <xf numFmtId="1" fontId="2" fillId="31" borderId="0" xfId="1" applyNumberFormat="1" applyFont="1" applyFill="1" applyBorder="1" applyAlignment="1" applyProtection="1">
      <alignment horizontal="center"/>
    </xf>
    <xf numFmtId="2" fontId="2" fillId="31" borderId="0" xfId="1" applyNumberFormat="1" applyFont="1" applyFill="1" applyBorder="1" applyAlignment="1" applyProtection="1">
      <alignment horizontal="center"/>
    </xf>
    <xf numFmtId="3" fontId="2" fillId="29" borderId="0" xfId="1" applyNumberFormat="1" applyFont="1" applyFill="1" applyBorder="1" applyAlignment="1" applyProtection="1">
      <alignment horizontal="center"/>
    </xf>
    <xf numFmtId="0" fontId="71" fillId="35" borderId="0" xfId="0" applyFont="1" applyFill="1" applyBorder="1" applyProtection="1"/>
    <xf numFmtId="0" fontId="71" fillId="36" borderId="0" xfId="1" applyFont="1" applyFill="1" applyBorder="1" applyProtection="1"/>
    <xf numFmtId="1" fontId="71" fillId="36" borderId="0" xfId="1" applyNumberFormat="1" applyFont="1" applyFill="1" applyBorder="1" applyAlignment="1" applyProtection="1">
      <alignment horizontal="center"/>
    </xf>
    <xf numFmtId="2" fontId="71" fillId="36" borderId="0" xfId="1" applyNumberFormat="1" applyFont="1" applyFill="1" applyBorder="1" applyAlignment="1" applyProtection="1">
      <alignment horizontal="center"/>
    </xf>
    <xf numFmtId="3" fontId="71" fillId="35" borderId="0" xfId="1" applyNumberFormat="1" applyFont="1" applyFill="1" applyBorder="1" applyAlignment="1" applyProtection="1">
      <alignment horizontal="center"/>
    </xf>
    <xf numFmtId="3" fontId="71" fillId="36" borderId="0" xfId="1" applyNumberFormat="1" applyFont="1" applyFill="1" applyBorder="1" applyAlignment="1" applyProtection="1">
      <alignment horizontal="center"/>
    </xf>
    <xf numFmtId="164" fontId="71" fillId="36" borderId="0" xfId="1" applyNumberFormat="1" applyFont="1" applyFill="1" applyBorder="1" applyAlignment="1" applyProtection="1">
      <alignment horizontal="center"/>
    </xf>
    <xf numFmtId="0" fontId="72" fillId="35" borderId="0" xfId="0" applyFont="1" applyFill="1" applyBorder="1" applyAlignment="1" applyProtection="1">
      <alignment horizontal="left"/>
    </xf>
    <xf numFmtId="3" fontId="72" fillId="36" borderId="0" xfId="1" applyNumberFormat="1" applyFont="1" applyFill="1" applyBorder="1" applyAlignment="1" applyProtection="1">
      <alignment horizontal="center"/>
    </xf>
    <xf numFmtId="3" fontId="2" fillId="31" borderId="0" xfId="1" applyNumberFormat="1" applyFont="1" applyFill="1" applyBorder="1" applyAlignment="1" applyProtection="1">
      <alignment horizontal="center"/>
    </xf>
    <xf numFmtId="164" fontId="2" fillId="31" borderId="0" xfId="1" applyNumberFormat="1" applyFont="1" applyFill="1" applyBorder="1" applyAlignment="1" applyProtection="1">
      <alignment horizontal="center"/>
    </xf>
    <xf numFmtId="0" fontId="0" fillId="35" borderId="0" xfId="0" applyFill="1" applyAlignment="1">
      <alignment horizontal="center"/>
    </xf>
    <xf numFmtId="1" fontId="71" fillId="35" borderId="0" xfId="0" applyNumberFormat="1" applyFont="1" applyFill="1"/>
    <xf numFmtId="2" fontId="71" fillId="35" borderId="0" xfId="0" applyNumberFormat="1" applyFont="1" applyFill="1"/>
    <xf numFmtId="0" fontId="77" fillId="35" borderId="0" xfId="0" applyFont="1" applyFill="1" applyBorder="1"/>
    <xf numFmtId="164" fontId="78" fillId="35" borderId="0" xfId="0" applyNumberFormat="1" applyFont="1" applyFill="1" applyBorder="1" applyAlignment="1">
      <alignment horizontal="center"/>
    </xf>
    <xf numFmtId="2" fontId="78" fillId="35" borderId="0" xfId="0" applyNumberFormat="1" applyFont="1" applyFill="1" applyBorder="1" applyAlignment="1">
      <alignment horizontal="center"/>
    </xf>
    <xf numFmtId="0" fontId="58" fillId="29" borderId="0" xfId="0" applyFont="1" applyFill="1" applyBorder="1" applyAlignment="1">
      <alignment horizontal="right"/>
    </xf>
    <xf numFmtId="0" fontId="0" fillId="33" borderId="79" xfId="0" applyFill="1" applyBorder="1" applyAlignment="1">
      <alignment horizontal="left"/>
    </xf>
    <xf numFmtId="1" fontId="0" fillId="35" borderId="0" xfId="0" applyNumberFormat="1" applyFill="1"/>
    <xf numFmtId="1" fontId="0" fillId="26" borderId="56" xfId="0" applyNumberFormat="1" applyFont="1" applyFill="1" applyBorder="1" applyAlignment="1">
      <alignment horizontal="left"/>
    </xf>
    <xf numFmtId="0" fontId="79" fillId="29" borderId="0" xfId="0" applyFont="1" applyFill="1"/>
    <xf numFmtId="0" fontId="0" fillId="28" borderId="14" xfId="0" applyFont="1" applyFill="1" applyBorder="1" applyAlignment="1" applyProtection="1">
      <alignment horizontal="center"/>
      <protection locked="0"/>
    </xf>
    <xf numFmtId="0" fontId="0" fillId="28" borderId="6" xfId="0" applyFont="1" applyFill="1" applyBorder="1" applyAlignment="1" applyProtection="1">
      <alignment horizontal="center"/>
      <protection locked="0"/>
    </xf>
    <xf numFmtId="0" fontId="1" fillId="0" borderId="11" xfId="0" applyFont="1" applyFill="1" applyBorder="1" applyAlignment="1" applyProtection="1">
      <alignment horizontal="right" vertical="center"/>
    </xf>
    <xf numFmtId="0" fontId="1" fillId="0" borderId="12" xfId="0" applyFont="1" applyFill="1" applyBorder="1" applyAlignment="1" applyProtection="1">
      <alignment horizontal="right" vertical="center"/>
    </xf>
    <xf numFmtId="0" fontId="1" fillId="0" borderId="13" xfId="0" applyFont="1" applyFill="1" applyBorder="1" applyAlignment="1" applyProtection="1">
      <alignment horizontal="right" vertical="center"/>
    </xf>
    <xf numFmtId="0" fontId="1" fillId="0" borderId="14" xfId="0" applyFont="1" applyFill="1" applyBorder="1" applyAlignment="1" applyProtection="1">
      <alignment horizontal="right" vertical="center"/>
    </xf>
    <xf numFmtId="0" fontId="1" fillId="0" borderId="0" xfId="0" applyFont="1" applyFill="1" applyBorder="1" applyAlignment="1" applyProtection="1">
      <alignment horizontal="right" vertical="center"/>
    </xf>
    <xf numFmtId="0" fontId="1" fillId="0" borderId="15" xfId="0" applyFont="1" applyFill="1" applyBorder="1" applyAlignment="1" applyProtection="1">
      <alignment horizontal="right" vertical="center"/>
    </xf>
    <xf numFmtId="0" fontId="4" fillId="0" borderId="0" xfId="0" applyFont="1" applyFill="1" applyAlignment="1" applyProtection="1">
      <alignment horizontal="left" vertical="top"/>
    </xf>
    <xf numFmtId="0" fontId="1" fillId="0" borderId="48" xfId="0" applyFont="1" applyFill="1" applyBorder="1" applyAlignment="1" applyProtection="1">
      <alignment horizontal="right" vertical="center"/>
    </xf>
    <xf numFmtId="0" fontId="1" fillId="0" borderId="16" xfId="0" applyFont="1" applyFill="1" applyBorder="1" applyAlignment="1" applyProtection="1">
      <alignment horizontal="right" vertical="center"/>
    </xf>
    <xf numFmtId="0" fontId="1" fillId="0" borderId="17" xfId="0" applyFont="1" applyFill="1" applyBorder="1" applyAlignment="1" applyProtection="1">
      <alignment horizontal="right" vertical="center"/>
    </xf>
    <xf numFmtId="0" fontId="1" fillId="29" borderId="0" xfId="0" applyFont="1" applyFill="1" applyAlignment="1"/>
    <xf numFmtId="0" fontId="36" fillId="29" borderId="0" xfId="0" applyFont="1" applyFill="1" applyBorder="1" applyAlignment="1" applyProtection="1">
      <alignment horizontal="right" vertical="top" wrapText="1"/>
    </xf>
    <xf numFmtId="0" fontId="0" fillId="29" borderId="0" xfId="0" applyFill="1" applyBorder="1" applyProtection="1"/>
    <xf numFmtId="0" fontId="1" fillId="2" borderId="75" xfId="0" applyFont="1" applyFill="1" applyBorder="1" applyAlignment="1" applyProtection="1">
      <alignment horizontal="center" vertical="center"/>
    </xf>
    <xf numFmtId="0" fontId="1" fillId="2" borderId="31" xfId="0" applyFont="1" applyFill="1" applyBorder="1" applyAlignment="1" applyProtection="1">
      <alignment horizontal="center" vertical="center"/>
    </xf>
    <xf numFmtId="0" fontId="0" fillId="0" borderId="48" xfId="0" applyFill="1" applyBorder="1" applyAlignment="1" applyProtection="1">
      <alignment horizontal="center"/>
    </xf>
    <xf numFmtId="0" fontId="0" fillId="0" borderId="16" xfId="0" applyFont="1" applyFill="1" applyBorder="1" applyAlignment="1" applyProtection="1">
      <alignment horizontal="center"/>
    </xf>
    <xf numFmtId="0" fontId="0" fillId="0" borderId="14" xfId="0" applyFill="1" applyBorder="1" applyAlignment="1" applyProtection="1">
      <alignment horizontal="center"/>
    </xf>
    <xf numFmtId="0" fontId="0" fillId="0" borderId="0" xfId="0" applyFont="1" applyFill="1" applyBorder="1" applyAlignment="1" applyProtection="1">
      <alignment horizontal="center"/>
    </xf>
    <xf numFmtId="0" fontId="0" fillId="0" borderId="14" xfId="0" applyFont="1" applyFill="1" applyBorder="1" applyAlignment="1" applyProtection="1">
      <alignment horizontal="center"/>
    </xf>
    <xf numFmtId="0" fontId="1" fillId="2" borderId="11" xfId="0" applyFont="1" applyFill="1" applyBorder="1" applyAlignment="1" applyProtection="1">
      <alignment horizontal="center" vertical="center"/>
    </xf>
    <xf numFmtId="0" fontId="1" fillId="2" borderId="12" xfId="0" applyFont="1" applyFill="1" applyBorder="1" applyAlignment="1" applyProtection="1">
      <alignment horizontal="center" vertical="center"/>
    </xf>
    <xf numFmtId="0" fontId="1" fillId="2" borderId="34"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4" fillId="0" borderId="0" xfId="0" applyFont="1" applyFill="1" applyAlignment="1" applyProtection="1"/>
    <xf numFmtId="0" fontId="4" fillId="0" borderId="0" xfId="0" applyFont="1" applyAlignment="1" applyProtection="1"/>
    <xf numFmtId="0" fontId="1" fillId="2" borderId="13" xfId="0" applyFont="1" applyFill="1" applyBorder="1" applyAlignment="1" applyProtection="1">
      <alignment horizontal="center" vertical="center"/>
    </xf>
    <xf numFmtId="0" fontId="1" fillId="2" borderId="52" xfId="0" applyFont="1" applyFill="1" applyBorder="1" applyAlignment="1" applyProtection="1">
      <alignment horizontal="center" vertical="center"/>
    </xf>
    <xf numFmtId="0" fontId="1" fillId="30" borderId="11" xfId="0" applyFont="1" applyFill="1" applyBorder="1" applyAlignment="1" applyProtection="1">
      <alignment horizontal="center"/>
    </xf>
    <xf numFmtId="0" fontId="1" fillId="30" borderId="12" xfId="0" applyFont="1" applyFill="1" applyBorder="1" applyAlignment="1" applyProtection="1">
      <alignment horizontal="center"/>
    </xf>
    <xf numFmtId="0" fontId="0" fillId="28" borderId="53" xfId="0" applyFont="1" applyFill="1" applyBorder="1" applyAlignment="1" applyProtection="1">
      <alignment horizontal="center"/>
      <protection locked="0"/>
    </xf>
    <xf numFmtId="0" fontId="0" fillId="28" borderId="4" xfId="0" applyFont="1" applyFill="1" applyBorder="1" applyAlignment="1" applyProtection="1">
      <alignment horizontal="center"/>
      <protection locked="0"/>
    </xf>
    <xf numFmtId="0" fontId="65" fillId="8" borderId="29" xfId="0" applyFont="1" applyFill="1" applyBorder="1" applyAlignment="1">
      <alignment horizontal="center" vertical="center"/>
    </xf>
    <xf numFmtId="0" fontId="65" fillId="8" borderId="31" xfId="0" applyFont="1" applyFill="1" applyBorder="1" applyAlignment="1">
      <alignment horizontal="center" vertical="center"/>
    </xf>
    <xf numFmtId="0" fontId="65" fillId="8" borderId="45" xfId="0" applyFont="1" applyFill="1" applyBorder="1" applyAlignment="1">
      <alignment horizontal="center" vertical="center"/>
    </xf>
    <xf numFmtId="0" fontId="64" fillId="0" borderId="48" xfId="0" applyFont="1" applyBorder="1" applyAlignment="1">
      <alignment horizontal="center" vertical="center" wrapText="1"/>
    </xf>
    <xf numFmtId="0" fontId="64" fillId="0" borderId="16" xfId="0" applyFont="1" applyBorder="1" applyAlignment="1">
      <alignment horizontal="center" vertical="center" wrapText="1"/>
    </xf>
    <xf numFmtId="0" fontId="64" fillId="0" borderId="53" xfId="0" applyFont="1" applyBorder="1" applyAlignment="1">
      <alignment horizontal="center" vertical="center" wrapText="1"/>
    </xf>
    <xf numFmtId="0" fontId="64" fillId="0" borderId="3" xfId="0" applyFont="1" applyBorder="1" applyAlignment="1">
      <alignment horizontal="center" vertical="center" wrapText="1"/>
    </xf>
    <xf numFmtId="0" fontId="52" fillId="16" borderId="11" xfId="0" applyFont="1" applyFill="1" applyBorder="1" applyAlignment="1" applyProtection="1">
      <alignment horizontal="center" vertical="center"/>
    </xf>
    <xf numFmtId="0" fontId="52" fillId="16" borderId="13" xfId="0" applyFont="1" applyFill="1" applyBorder="1" applyAlignment="1" applyProtection="1">
      <alignment horizontal="center" vertical="center"/>
    </xf>
    <xf numFmtId="0" fontId="53" fillId="16" borderId="88" xfId="0" applyFont="1" applyFill="1" applyBorder="1" applyAlignment="1">
      <alignment horizontal="center" wrapText="1"/>
    </xf>
    <xf numFmtId="0" fontId="53" fillId="16" borderId="89" xfId="0" applyFont="1" applyFill="1" applyBorder="1" applyAlignment="1">
      <alignment horizontal="center" wrapText="1"/>
    </xf>
    <xf numFmtId="0" fontId="53" fillId="16" borderId="11" xfId="0" applyFont="1" applyFill="1" applyBorder="1" applyAlignment="1">
      <alignment horizontal="center" wrapText="1"/>
    </xf>
    <xf numFmtId="0" fontId="53" fillId="16" borderId="13" xfId="0" applyFont="1" applyFill="1" applyBorder="1" applyAlignment="1">
      <alignment horizontal="center" wrapText="1"/>
    </xf>
    <xf numFmtId="0" fontId="40" fillId="7" borderId="11" xfId="0" applyFont="1" applyFill="1" applyBorder="1" applyAlignment="1">
      <alignment horizontal="center"/>
    </xf>
    <xf numFmtId="0" fontId="40" fillId="7" borderId="12" xfId="0" applyFont="1" applyFill="1" applyBorder="1" applyAlignment="1">
      <alignment horizontal="center"/>
    </xf>
    <xf numFmtId="0" fontId="40" fillId="7" borderId="32" xfId="0" applyFont="1" applyFill="1" applyBorder="1" applyAlignment="1">
      <alignment horizontal="center"/>
    </xf>
    <xf numFmtId="0" fontId="40" fillId="4" borderId="11" xfId="0" applyFont="1" applyFill="1" applyBorder="1" applyAlignment="1">
      <alignment horizontal="center"/>
    </xf>
    <xf numFmtId="0" fontId="40" fillId="4" borderId="12" xfId="0" applyFont="1" applyFill="1" applyBorder="1" applyAlignment="1">
      <alignment horizontal="center"/>
    </xf>
    <xf numFmtId="0" fontId="40" fillId="4" borderId="32" xfId="0" applyFont="1" applyFill="1" applyBorder="1" applyAlignment="1">
      <alignment horizontal="center"/>
    </xf>
    <xf numFmtId="0" fontId="40" fillId="5" borderId="11" xfId="0" applyFont="1" applyFill="1" applyBorder="1" applyAlignment="1">
      <alignment horizontal="center"/>
    </xf>
    <xf numFmtId="0" fontId="40" fillId="5" borderId="12" xfId="0" applyFont="1" applyFill="1" applyBorder="1" applyAlignment="1">
      <alignment horizontal="center"/>
    </xf>
    <xf numFmtId="0" fontId="40" fillId="5" borderId="32" xfId="0" applyFont="1" applyFill="1" applyBorder="1" applyAlignment="1">
      <alignment horizontal="center"/>
    </xf>
    <xf numFmtId="0" fontId="40" fillId="6" borderId="11" xfId="0" applyFont="1" applyFill="1" applyBorder="1" applyAlignment="1">
      <alignment horizontal="center"/>
    </xf>
    <xf numFmtId="0" fontId="40" fillId="6" borderId="12" xfId="0" applyFont="1" applyFill="1" applyBorder="1" applyAlignment="1">
      <alignment horizontal="center"/>
    </xf>
    <xf numFmtId="0" fontId="40" fillId="6" borderId="32" xfId="0" applyFont="1" applyFill="1" applyBorder="1" applyAlignment="1">
      <alignment horizontal="center"/>
    </xf>
    <xf numFmtId="0" fontId="40" fillId="3" borderId="11" xfId="0" applyFont="1" applyFill="1" applyBorder="1" applyAlignment="1">
      <alignment horizontal="center"/>
    </xf>
    <xf numFmtId="0" fontId="40" fillId="3" borderId="12" xfId="0" applyFont="1" applyFill="1" applyBorder="1" applyAlignment="1">
      <alignment horizontal="center"/>
    </xf>
    <xf numFmtId="0" fontId="40" fillId="3" borderId="32" xfId="0" applyFont="1" applyFill="1" applyBorder="1" applyAlignment="1">
      <alignment horizontal="center"/>
    </xf>
    <xf numFmtId="0" fontId="40" fillId="10" borderId="11" xfId="0" applyFont="1" applyFill="1" applyBorder="1" applyAlignment="1">
      <alignment horizontal="center"/>
    </xf>
    <xf numFmtId="0" fontId="40" fillId="10" borderId="12" xfId="0" applyFont="1" applyFill="1" applyBorder="1" applyAlignment="1">
      <alignment horizontal="center"/>
    </xf>
    <xf numFmtId="0" fontId="40" fillId="10" borderId="32" xfId="0" applyFont="1" applyFill="1" applyBorder="1" applyAlignment="1">
      <alignment horizontal="center"/>
    </xf>
    <xf numFmtId="0" fontId="1" fillId="5" borderId="30" xfId="0" applyFont="1" applyFill="1" applyBorder="1" applyAlignment="1">
      <alignment horizontal="center"/>
    </xf>
    <xf numFmtId="0" fontId="1" fillId="5" borderId="1" xfId="0" applyFont="1" applyFill="1" applyBorder="1" applyAlignment="1">
      <alignment horizontal="center"/>
    </xf>
    <xf numFmtId="0" fontId="1" fillId="5" borderId="42" xfId="0" applyFont="1" applyFill="1" applyBorder="1" applyAlignment="1">
      <alignment horizontal="center"/>
    </xf>
    <xf numFmtId="0" fontId="1" fillId="5" borderId="43" xfId="0" applyFont="1" applyFill="1" applyBorder="1" applyAlignment="1">
      <alignment horizontal="center"/>
    </xf>
    <xf numFmtId="0" fontId="0" fillId="0" borderId="43" xfId="0" applyBorder="1" applyAlignment="1">
      <alignment horizontal="center"/>
    </xf>
    <xf numFmtId="0" fontId="1" fillId="5" borderId="29" xfId="0" applyFont="1" applyFill="1" applyBorder="1" applyAlignment="1">
      <alignment horizontal="center"/>
    </xf>
    <xf numFmtId="0" fontId="1" fillId="5" borderId="31" xfId="0" applyFont="1"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22" fillId="0" borderId="0" xfId="0" applyFont="1" applyBorder="1" applyAlignment="1">
      <alignment vertical="top"/>
    </xf>
    <xf numFmtId="0" fontId="23" fillId="0" borderId="0" xfId="0" applyFont="1" applyBorder="1" applyAlignment="1">
      <alignment horizontal="center" vertical="top" wrapText="1"/>
    </xf>
    <xf numFmtId="0" fontId="71" fillId="35" borderId="0" xfId="0" applyFont="1" applyFill="1" applyBorder="1" applyAlignment="1">
      <alignment horizontal="center"/>
    </xf>
    <xf numFmtId="0" fontId="74" fillId="35" borderId="0" xfId="1" applyFont="1" applyFill="1" applyBorder="1" applyAlignment="1" applyProtection="1">
      <alignment horizontal="left"/>
    </xf>
    <xf numFmtId="0" fontId="74" fillId="35" borderId="0" xfId="1" applyFont="1" applyFill="1" applyBorder="1" applyAlignment="1" applyProtection="1">
      <alignment horizontal="center"/>
    </xf>
    <xf numFmtId="0" fontId="1" fillId="30" borderId="3" xfId="0" applyFont="1" applyFill="1" applyBorder="1" applyAlignment="1">
      <alignment horizontal="center"/>
    </xf>
    <xf numFmtId="0" fontId="0" fillId="30" borderId="3" xfId="0" applyFont="1" applyFill="1" applyBorder="1" applyAlignment="1">
      <alignment horizontal="center"/>
    </xf>
    <xf numFmtId="0" fontId="2" fillId="29" borderId="0" xfId="0" applyFont="1" applyFill="1" applyBorder="1" applyAlignment="1">
      <alignment horizontal="center"/>
    </xf>
    <xf numFmtId="0" fontId="72" fillId="35" borderId="0" xfId="0" applyFont="1" applyFill="1" applyBorder="1" applyAlignment="1">
      <alignment horizontal="center"/>
    </xf>
    <xf numFmtId="0" fontId="1" fillId="30" borderId="0" xfId="0" applyFont="1" applyFill="1" applyBorder="1" applyAlignment="1">
      <alignment horizontal="center"/>
    </xf>
    <xf numFmtId="0" fontId="0" fillId="30" borderId="0" xfId="0" applyFont="1" applyFill="1" applyBorder="1" applyAlignment="1">
      <alignment horizontal="center"/>
    </xf>
    <xf numFmtId="0" fontId="31" fillId="28" borderId="29" xfId="1" applyFont="1" applyFill="1" applyBorder="1" applyAlignment="1" applyProtection="1">
      <protection locked="0"/>
    </xf>
    <xf numFmtId="0" fontId="31" fillId="28" borderId="30" xfId="1" applyFont="1" applyFill="1" applyBorder="1" applyAlignment="1" applyProtection="1">
      <protection locked="0"/>
    </xf>
    <xf numFmtId="0" fontId="1" fillId="0" borderId="42" xfId="0" applyFont="1" applyFill="1" applyBorder="1" applyAlignment="1">
      <alignment horizontal="center"/>
    </xf>
    <xf numFmtId="0" fontId="1" fillId="0" borderId="43" xfId="0" applyFont="1" applyFill="1" applyBorder="1" applyAlignment="1">
      <alignment horizontal="center"/>
    </xf>
    <xf numFmtId="0" fontId="0" fillId="0" borderId="43" xfId="0" applyFont="1" applyFill="1" applyBorder="1" applyAlignment="1">
      <alignment horizontal="center"/>
    </xf>
    <xf numFmtId="0" fontId="0" fillId="0" borderId="44" xfId="0" applyFont="1" applyFill="1" applyBorder="1" applyAlignment="1">
      <alignment horizontal="center"/>
    </xf>
    <xf numFmtId="0" fontId="1" fillId="0" borderId="2" xfId="0" applyFont="1" applyFill="1" applyBorder="1" applyAlignment="1">
      <alignment horizontal="center"/>
    </xf>
    <xf numFmtId="0" fontId="1" fillId="0" borderId="3" xfId="0" applyFont="1" applyFill="1" applyBorder="1" applyAlignment="1">
      <alignment horizontal="center"/>
    </xf>
    <xf numFmtId="0" fontId="0" fillId="0" borderId="3" xfId="0" applyFont="1" applyFill="1" applyBorder="1" applyAlignment="1">
      <alignment horizontal="center"/>
    </xf>
    <xf numFmtId="0" fontId="0" fillId="0" borderId="36" xfId="0" applyFont="1" applyFill="1" applyBorder="1" applyAlignment="1">
      <alignment horizontal="center"/>
    </xf>
    <xf numFmtId="0" fontId="1" fillId="0" borderId="10" xfId="0" applyFont="1" applyFill="1" applyBorder="1" applyAlignment="1">
      <alignment horizontal="center"/>
    </xf>
    <xf numFmtId="0" fontId="0" fillId="0" borderId="10" xfId="0" applyBorder="1" applyAlignment="1">
      <alignment horizontal="center" vertical="center"/>
    </xf>
    <xf numFmtId="0" fontId="0" fillId="0" borderId="19" xfId="0" applyBorder="1" applyAlignment="1">
      <alignment horizontal="center" vertical="center"/>
    </xf>
    <xf numFmtId="0" fontId="0" fillId="0" borderId="0" xfId="0" applyAlignment="1">
      <alignment horizontal="center"/>
    </xf>
    <xf numFmtId="0" fontId="0" fillId="0" borderId="2" xfId="0" applyBorder="1" applyAlignment="1">
      <alignment horizontal="center" vertical="center"/>
    </xf>
    <xf numFmtId="0" fontId="0" fillId="0" borderId="7" xfId="0" applyBorder="1" applyAlignment="1">
      <alignment horizontal="center" vertical="center"/>
    </xf>
    <xf numFmtId="0" fontId="1" fillId="0" borderId="0" xfId="0" applyFont="1" applyAlignment="1">
      <alignment horizontal="center"/>
    </xf>
    <xf numFmtId="0" fontId="18" fillId="0" borderId="29" xfId="1" applyFont="1" applyFill="1" applyBorder="1" applyAlignment="1">
      <alignment horizontal="center"/>
    </xf>
    <xf numFmtId="0" fontId="15" fillId="0" borderId="30" xfId="1" applyFill="1" applyBorder="1" applyAlignment="1">
      <alignment horizontal="center"/>
    </xf>
    <xf numFmtId="0" fontId="6" fillId="0" borderId="2" xfId="1" applyFont="1" applyFill="1" applyBorder="1" applyAlignment="1">
      <alignment horizontal="center"/>
    </xf>
    <xf numFmtId="0" fontId="6" fillId="0" borderId="4" xfId="1" applyFont="1" applyFill="1" applyBorder="1" applyAlignment="1">
      <alignment horizontal="center"/>
    </xf>
    <xf numFmtId="0" fontId="18" fillId="0" borderId="7" xfId="1" applyFont="1" applyFill="1" applyBorder="1" applyAlignment="1">
      <alignment horizontal="center"/>
    </xf>
    <xf numFmtId="0" fontId="18" fillId="0" borderId="9" xfId="1" applyFont="1" applyFill="1" applyBorder="1" applyAlignment="1">
      <alignment horizontal="center"/>
    </xf>
    <xf numFmtId="2" fontId="17" fillId="18" borderId="7" xfId="1" applyNumberFormat="1" applyFont="1" applyFill="1" applyBorder="1" applyAlignment="1">
      <alignment horizontal="center"/>
    </xf>
    <xf numFmtId="2" fontId="0" fillId="18" borderId="9" xfId="0" applyNumberFormat="1" applyFill="1" applyBorder="1" applyAlignment="1"/>
    <xf numFmtId="0" fontId="18" fillId="0" borderId="2" xfId="1" applyFont="1" applyFill="1" applyBorder="1" applyAlignment="1">
      <alignment horizontal="center"/>
    </xf>
    <xf numFmtId="0" fontId="20" fillId="0" borderId="4" xfId="1" applyFont="1" applyFill="1" applyBorder="1" applyAlignment="1">
      <alignment horizontal="center"/>
    </xf>
    <xf numFmtId="164" fontId="17" fillId="18" borderId="7" xfId="1" applyNumberFormat="1" applyFont="1" applyFill="1" applyBorder="1" applyAlignment="1">
      <alignment horizontal="center"/>
    </xf>
    <xf numFmtId="0" fontId="0" fillId="18" borderId="9" xfId="0" applyFill="1" applyBorder="1" applyAlignment="1"/>
    <xf numFmtId="2" fontId="18" fillId="18" borderId="7" xfId="1" applyNumberFormat="1" applyFont="1" applyFill="1" applyBorder="1" applyAlignment="1">
      <alignment horizontal="center"/>
    </xf>
    <xf numFmtId="2" fontId="1" fillId="18" borderId="9" xfId="0" applyNumberFormat="1" applyFont="1" applyFill="1" applyBorder="1" applyAlignment="1"/>
    <xf numFmtId="0" fontId="70" fillId="29" borderId="0" xfId="0" applyFont="1" applyFill="1" applyAlignment="1">
      <alignment horizontal="center"/>
    </xf>
    <xf numFmtId="0" fontId="0" fillId="33" borderId="54" xfId="0" applyFill="1" applyBorder="1" applyAlignment="1">
      <alignment horizontal="center"/>
    </xf>
    <xf numFmtId="0" fontId="0" fillId="33" borderId="55" xfId="0" applyFill="1" applyBorder="1" applyAlignment="1">
      <alignment horizontal="center"/>
    </xf>
    <xf numFmtId="0" fontId="6" fillId="0" borderId="0" xfId="4" applyFont="1" applyBorder="1" applyAlignment="1">
      <alignment horizontal="center"/>
    </xf>
    <xf numFmtId="164" fontId="50" fillId="12" borderId="95" xfId="0" applyNumberFormat="1" applyFont="1" applyFill="1" applyBorder="1" applyAlignment="1">
      <alignment horizontal="center"/>
    </xf>
    <xf numFmtId="164" fontId="50" fillId="12" borderId="55" xfId="0" applyNumberFormat="1" applyFont="1" applyFill="1" applyBorder="1" applyAlignment="1">
      <alignment horizontal="center"/>
    </xf>
    <xf numFmtId="0" fontId="0" fillId="25" borderId="80" xfId="0" applyFont="1" applyFill="1" applyBorder="1" applyAlignment="1">
      <alignment horizontal="center"/>
    </xf>
    <xf numFmtId="0" fontId="0" fillId="25" borderId="60" xfId="0" applyFont="1" applyFill="1" applyBorder="1" applyAlignment="1">
      <alignment horizontal="center"/>
    </xf>
    <xf numFmtId="1" fontId="1" fillId="0" borderId="84" xfId="0" applyNumberFormat="1" applyFont="1" applyBorder="1" applyAlignment="1">
      <alignment horizontal="right" vertical="center"/>
    </xf>
    <xf numFmtId="1" fontId="1" fillId="0" borderId="91" xfId="0" applyNumberFormat="1" applyFont="1" applyBorder="1" applyAlignment="1">
      <alignment horizontal="right" vertical="center"/>
    </xf>
    <xf numFmtId="1" fontId="1" fillId="0" borderId="90" xfId="0" applyNumberFormat="1" applyFont="1" applyBorder="1" applyAlignment="1">
      <alignment horizontal="right" vertical="center"/>
    </xf>
    <xf numFmtId="1" fontId="1" fillId="0" borderId="85" xfId="0" applyNumberFormat="1" applyFont="1" applyBorder="1" applyAlignment="1">
      <alignment horizontal="right" vertical="center"/>
    </xf>
    <xf numFmtId="1" fontId="1" fillId="0" borderId="1" xfId="0" applyNumberFormat="1" applyFont="1" applyBorder="1" applyAlignment="1">
      <alignment horizontal="right" vertical="center"/>
    </xf>
    <xf numFmtId="1" fontId="1" fillId="0" borderId="33" xfId="0" applyNumberFormat="1" applyFont="1" applyBorder="1" applyAlignment="1">
      <alignment horizontal="right" vertical="center"/>
    </xf>
    <xf numFmtId="1" fontId="1" fillId="0" borderId="70" xfId="0" applyNumberFormat="1" applyFont="1" applyBorder="1" applyAlignment="1">
      <alignment horizontal="right" vertical="center"/>
    </xf>
    <xf numFmtId="1" fontId="1" fillId="0" borderId="71" xfId="0" applyNumberFormat="1" applyFont="1" applyBorder="1" applyAlignment="1">
      <alignment horizontal="right" vertical="center"/>
    </xf>
    <xf numFmtId="1" fontId="1" fillId="0" borderId="74" xfId="0" applyNumberFormat="1" applyFont="1" applyBorder="1" applyAlignment="1">
      <alignment horizontal="right" vertical="center"/>
    </xf>
    <xf numFmtId="0" fontId="34" fillId="4" borderId="31" xfId="0" applyFont="1" applyFill="1" applyBorder="1" applyAlignment="1">
      <alignment horizontal="center"/>
    </xf>
    <xf numFmtId="0" fontId="37" fillId="4" borderId="31" xfId="0" applyFont="1" applyFill="1" applyBorder="1" applyAlignment="1">
      <alignment horizontal="center"/>
    </xf>
    <xf numFmtId="0" fontId="34" fillId="4" borderId="75" xfId="0" applyFont="1" applyFill="1" applyBorder="1" applyAlignment="1">
      <alignment horizontal="center"/>
    </xf>
    <xf numFmtId="0" fontId="37" fillId="4" borderId="30" xfId="0" applyFont="1" applyFill="1" applyBorder="1" applyAlignment="1">
      <alignment horizontal="center"/>
    </xf>
    <xf numFmtId="0" fontId="34" fillId="4" borderId="2" xfId="0" applyFont="1" applyFill="1" applyBorder="1" applyAlignment="1">
      <alignment horizontal="center"/>
    </xf>
    <xf numFmtId="0" fontId="34" fillId="4" borderId="3" xfId="0" applyFont="1" applyFill="1" applyBorder="1" applyAlignment="1">
      <alignment horizontal="center"/>
    </xf>
    <xf numFmtId="0" fontId="37" fillId="4" borderId="3" xfId="0" applyFont="1" applyFill="1" applyBorder="1" applyAlignment="1">
      <alignment horizontal="center"/>
    </xf>
    <xf numFmtId="0" fontId="37" fillId="4" borderId="4" xfId="0" applyFont="1" applyFill="1" applyBorder="1" applyAlignment="1">
      <alignment horizontal="center"/>
    </xf>
    <xf numFmtId="0" fontId="34" fillId="4" borderId="10" xfId="0" applyFont="1" applyFill="1" applyBorder="1" applyAlignment="1">
      <alignment horizontal="center"/>
    </xf>
    <xf numFmtId="0" fontId="34" fillId="4" borderId="4" xfId="0" applyFont="1" applyFill="1" applyBorder="1" applyAlignment="1">
      <alignment horizontal="center"/>
    </xf>
  </cellXfs>
  <cellStyles count="14">
    <cellStyle name="Milliers" xfId="13" builtinId="3"/>
    <cellStyle name="Milliers_Bilsimpl_vers2" xfId="2"/>
    <cellStyle name="Normal" xfId="0" builtinId="0"/>
    <cellStyle name="Normal 2" xfId="4"/>
    <cellStyle name="Normal 2 2" xfId="5"/>
    <cellStyle name="Normal 2 3" xfId="6"/>
    <cellStyle name="Normal 2 4" xfId="7"/>
    <cellStyle name="Normal 2 5" xfId="8"/>
    <cellStyle name="Normal 3" xfId="9"/>
    <cellStyle name="Normal 4" xfId="10"/>
    <cellStyle name="Normal 5" xfId="11"/>
    <cellStyle name="Normal_Bilsimpl_vers2" xfId="1"/>
    <cellStyle name="Pourcentage" xfId="3" builtinId="5"/>
    <cellStyle name="Pourcentage 2" xfId="12"/>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FF0000"/>
      </font>
      <fill>
        <patternFill>
          <bgColor rgb="FFFFFF00"/>
        </patternFill>
      </fill>
    </dxf>
  </dxfs>
  <tableStyles count="0" defaultTableStyle="TableStyleMedium9" defaultPivotStyle="PivotStyleLight16"/>
  <colors>
    <mruColors>
      <color rgb="FFFF99CC"/>
      <color rgb="FFFF6699"/>
      <color rgb="FFFFCCFF"/>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wmf"/><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wmf"/><Relationship Id="rId2" Type="http://schemas.openxmlformats.org/officeDocument/2006/relationships/image" Target="../media/image4.wmf"/><Relationship Id="rId1" Type="http://schemas.openxmlformats.org/officeDocument/2006/relationships/image" Target="../media/image3.wmf"/><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130474</xdr:rowOff>
    </xdr:from>
    <xdr:to>
      <xdr:col>1</xdr:col>
      <xdr:colOff>1323974</xdr:colOff>
      <xdr:row>15</xdr:row>
      <xdr:rowOff>37186</xdr:rowOff>
    </xdr:to>
    <xdr:pic>
      <xdr:nvPicPr>
        <xdr:cNvPr id="1050" name="Picture 26" descr="ifip_rvb"/>
        <xdr:cNvPicPr>
          <a:picLocks noChangeAspect="1" noChangeArrowheads="1"/>
        </xdr:cNvPicPr>
      </xdr:nvPicPr>
      <xdr:blipFill>
        <a:blip xmlns:r="http://schemas.openxmlformats.org/officeDocument/2006/relationships" r:embed="rId1" cstate="print"/>
        <a:srcRect/>
        <a:stretch>
          <a:fillRect/>
        </a:stretch>
      </xdr:blipFill>
      <xdr:spPr bwMode="auto">
        <a:xfrm>
          <a:off x="0" y="3864274"/>
          <a:ext cx="1323974" cy="678237"/>
        </a:xfrm>
        <a:prstGeom prst="rect">
          <a:avLst/>
        </a:prstGeom>
        <a:noFill/>
        <a:ln w="9525">
          <a:noFill/>
          <a:miter lim="800000"/>
          <a:headEnd/>
          <a:tailEnd/>
        </a:ln>
      </xdr:spPr>
    </xdr:pic>
    <xdr:clientData/>
  </xdr:twoCellAnchor>
  <xdr:twoCellAnchor editAs="oneCell">
    <xdr:from>
      <xdr:col>1</xdr:col>
      <xdr:colOff>133350</xdr:colOff>
      <xdr:row>5</xdr:row>
      <xdr:rowOff>128630</xdr:rowOff>
    </xdr:from>
    <xdr:to>
      <xdr:col>1</xdr:col>
      <xdr:colOff>1232318</xdr:colOff>
      <xdr:row>10</xdr:row>
      <xdr:rowOff>0</xdr:rowOff>
    </xdr:to>
    <xdr:pic>
      <xdr:nvPicPr>
        <xdr:cNvPr id="1055" name="Picture 31"/>
        <xdr:cNvPicPr>
          <a:picLocks noChangeAspect="1" noChangeArrowheads="1"/>
        </xdr:cNvPicPr>
      </xdr:nvPicPr>
      <xdr:blipFill>
        <a:blip xmlns:r="http://schemas.openxmlformats.org/officeDocument/2006/relationships" r:embed="rId2" cstate="print"/>
        <a:srcRect/>
        <a:stretch>
          <a:fillRect/>
        </a:stretch>
      </xdr:blipFill>
      <xdr:spPr bwMode="auto">
        <a:xfrm>
          <a:off x="133350" y="2852780"/>
          <a:ext cx="1098968" cy="823870"/>
        </a:xfrm>
        <a:prstGeom prst="rect">
          <a:avLst/>
        </a:prstGeom>
        <a:noFill/>
        <a:ln w="1">
          <a:noFill/>
          <a:miter lim="800000"/>
          <a:headEnd/>
          <a:tailEnd type="none" w="med" len="med"/>
        </a:ln>
        <a:effectLst/>
      </xdr:spPr>
    </xdr:pic>
    <xdr:clientData/>
  </xdr:twoCellAnchor>
  <xdr:twoCellAnchor editAs="oneCell">
    <xdr:from>
      <xdr:col>7</xdr:col>
      <xdr:colOff>154780</xdr:colOff>
      <xdr:row>0</xdr:row>
      <xdr:rowOff>903174</xdr:rowOff>
    </xdr:from>
    <xdr:to>
      <xdr:col>7</xdr:col>
      <xdr:colOff>1295399</xdr:colOff>
      <xdr:row>0</xdr:row>
      <xdr:rowOff>1861877</xdr:rowOff>
    </xdr:to>
    <xdr:pic>
      <xdr:nvPicPr>
        <xdr:cNvPr id="11" name="Picture 7" descr="C:\Documents and Settings\charpiot_a\Local Settings\Temporary Internet Files\Content.IE5\2R3SV6M4\MC900345795[1].wmf"/>
        <xdr:cNvPicPr>
          <a:picLocks noChangeAspect="1" noChangeArrowheads="1"/>
        </xdr:cNvPicPr>
      </xdr:nvPicPr>
      <xdr:blipFill>
        <a:blip xmlns:r="http://schemas.openxmlformats.org/officeDocument/2006/relationships" r:embed="rId3" cstate="print"/>
        <a:srcRect/>
        <a:stretch>
          <a:fillRect/>
        </a:stretch>
      </xdr:blipFill>
      <xdr:spPr bwMode="auto">
        <a:xfrm>
          <a:off x="9594055" y="903174"/>
          <a:ext cx="1140619" cy="958703"/>
        </a:xfrm>
        <a:prstGeom prst="rect">
          <a:avLst/>
        </a:prstGeom>
        <a:noFill/>
      </xdr:spPr>
    </xdr:pic>
    <xdr:clientData/>
  </xdr:twoCellAnchor>
  <xdr:twoCellAnchor editAs="oneCell">
    <xdr:from>
      <xdr:col>7</xdr:col>
      <xdr:colOff>1354931</xdr:colOff>
      <xdr:row>0</xdr:row>
      <xdr:rowOff>898095</xdr:rowOff>
    </xdr:from>
    <xdr:to>
      <xdr:col>8</xdr:col>
      <xdr:colOff>333375</xdr:colOff>
      <xdr:row>0</xdr:row>
      <xdr:rowOff>1866900</xdr:rowOff>
    </xdr:to>
    <xdr:pic>
      <xdr:nvPicPr>
        <xdr:cNvPr id="12" name="Picture 18" descr="C:\Documents and Settings\charpiot_a\Local Settings\Temporary Internet Files\Content.IE5\3Z0I4UIT\MC900345811[1].wmf"/>
        <xdr:cNvPicPr>
          <a:picLocks noChangeAspect="1" noChangeArrowheads="1"/>
        </xdr:cNvPicPr>
      </xdr:nvPicPr>
      <xdr:blipFill>
        <a:blip xmlns:r="http://schemas.openxmlformats.org/officeDocument/2006/relationships" r:embed="rId4" cstate="print"/>
        <a:srcRect/>
        <a:stretch>
          <a:fillRect/>
        </a:stretch>
      </xdr:blipFill>
      <xdr:spPr bwMode="auto">
        <a:xfrm>
          <a:off x="10794206" y="898095"/>
          <a:ext cx="1150144" cy="968805"/>
        </a:xfrm>
        <a:prstGeom prst="rect">
          <a:avLst/>
        </a:prstGeom>
        <a:noFill/>
      </xdr:spPr>
    </xdr:pic>
    <xdr:clientData/>
  </xdr:twoCellAnchor>
  <xdr:twoCellAnchor editAs="oneCell">
    <xdr:from>
      <xdr:col>8</xdr:col>
      <xdr:colOff>1553975</xdr:colOff>
      <xdr:row>17</xdr:row>
      <xdr:rowOff>182096</xdr:rowOff>
    </xdr:from>
    <xdr:to>
      <xdr:col>8</xdr:col>
      <xdr:colOff>1555375</xdr:colOff>
      <xdr:row>22</xdr:row>
      <xdr:rowOff>104775</xdr:rowOff>
    </xdr:to>
    <xdr:pic>
      <xdr:nvPicPr>
        <xdr:cNvPr id="13" name="Picture 11" descr="C:\Documents and Settings\charpiot_a\Local Settings\Temporary Internet Files\Content.IE5\RMLY308L\MC900331609[1].wmf"/>
        <xdr:cNvPicPr>
          <a:picLocks noChangeAspect="1" noChangeArrowheads="1"/>
        </xdr:cNvPicPr>
      </xdr:nvPicPr>
      <xdr:blipFill>
        <a:blip xmlns:r="http://schemas.openxmlformats.org/officeDocument/2006/relationships" r:embed="rId5" cstate="print"/>
        <a:srcRect/>
        <a:stretch>
          <a:fillRect/>
        </a:stretch>
      </xdr:blipFill>
      <xdr:spPr bwMode="auto">
        <a:xfrm>
          <a:off x="12298175" y="5068421"/>
          <a:ext cx="1303525" cy="894229"/>
        </a:xfrm>
        <a:prstGeom prst="rect">
          <a:avLst/>
        </a:prstGeom>
        <a:noFill/>
      </xdr:spPr>
    </xdr:pic>
    <xdr:clientData/>
  </xdr:twoCellAnchor>
  <xdr:twoCellAnchor editAs="oneCell">
    <xdr:from>
      <xdr:col>7</xdr:col>
      <xdr:colOff>104774</xdr:colOff>
      <xdr:row>0</xdr:row>
      <xdr:rowOff>1952625</xdr:rowOff>
    </xdr:from>
    <xdr:to>
      <xdr:col>8</xdr:col>
      <xdr:colOff>1581149</xdr:colOff>
      <xdr:row>13</xdr:row>
      <xdr:rowOff>17477</xdr:rowOff>
    </xdr:to>
    <xdr:pic>
      <xdr:nvPicPr>
        <xdr:cNvPr id="1071" name="lightboxImage" descr="http://www.jeantil.com/_elts_dynamiques/ProduitsC_1.0/94-8ap8mnexckv81963hekb-1-z.jpg"/>
        <xdr:cNvPicPr>
          <a:picLocks noChangeAspect="1" noChangeArrowheads="1"/>
        </xdr:cNvPicPr>
      </xdr:nvPicPr>
      <xdr:blipFill>
        <a:blip xmlns:r="http://schemas.openxmlformats.org/officeDocument/2006/relationships" r:embed="rId6" cstate="print"/>
        <a:srcRect/>
        <a:stretch>
          <a:fillRect/>
        </a:stretch>
      </xdr:blipFill>
      <xdr:spPr bwMode="auto">
        <a:xfrm>
          <a:off x="9544049" y="1952625"/>
          <a:ext cx="3648075" cy="2322527"/>
        </a:xfrm>
        <a:prstGeom prst="rect">
          <a:avLst/>
        </a:prstGeom>
        <a:noFill/>
      </xdr:spPr>
    </xdr:pic>
    <xdr:clientData/>
  </xdr:twoCellAnchor>
  <xdr:twoCellAnchor editAs="oneCell">
    <xdr:from>
      <xdr:col>7</xdr:col>
      <xdr:colOff>95249</xdr:colOff>
      <xdr:row>13</xdr:row>
      <xdr:rowOff>140493</xdr:rowOff>
    </xdr:from>
    <xdr:to>
      <xdr:col>8</xdr:col>
      <xdr:colOff>1571625</xdr:colOff>
      <xdr:row>24</xdr:row>
      <xdr:rowOff>155029</xdr:rowOff>
    </xdr:to>
    <xdr:pic>
      <xdr:nvPicPr>
        <xdr:cNvPr id="1072" name="il_fi" descr="http://www.lafermedesgrandspres.com/image/PICT1140.JPG"/>
        <xdr:cNvPicPr>
          <a:picLocks noChangeAspect="1" noChangeArrowheads="1"/>
        </xdr:cNvPicPr>
      </xdr:nvPicPr>
      <xdr:blipFill>
        <a:blip xmlns:r="http://schemas.openxmlformats.org/officeDocument/2006/relationships" r:embed="rId7" cstate="print"/>
        <a:srcRect/>
        <a:stretch>
          <a:fillRect/>
        </a:stretch>
      </xdr:blipFill>
      <xdr:spPr bwMode="auto">
        <a:xfrm>
          <a:off x="9534524" y="4398168"/>
          <a:ext cx="3648076" cy="2138611"/>
        </a:xfrm>
        <a:prstGeom prst="rect">
          <a:avLst/>
        </a:prstGeom>
        <a:noFill/>
      </xdr:spPr>
    </xdr:pic>
    <xdr:clientData/>
  </xdr:twoCellAnchor>
  <xdr:twoCellAnchor editAs="oneCell">
    <xdr:from>
      <xdr:col>8</xdr:col>
      <xdr:colOff>523875</xdr:colOff>
      <xdr:row>0</xdr:row>
      <xdr:rowOff>971550</xdr:rowOff>
    </xdr:from>
    <xdr:to>
      <xdr:col>8</xdr:col>
      <xdr:colOff>1514750</xdr:colOff>
      <xdr:row>0</xdr:row>
      <xdr:rowOff>1865779</xdr:rowOff>
    </xdr:to>
    <xdr:pic>
      <xdr:nvPicPr>
        <xdr:cNvPr id="10" name="Picture 11" descr="C:\Documents and Settings\charpiot_a\Local Settings\Temporary Internet Files\Content.IE5\RMLY308L\MC900331609[1].wmf"/>
        <xdr:cNvPicPr>
          <a:picLocks noChangeAspect="1" noChangeArrowheads="1"/>
        </xdr:cNvPicPr>
      </xdr:nvPicPr>
      <xdr:blipFill>
        <a:blip xmlns:r="http://schemas.openxmlformats.org/officeDocument/2006/relationships" r:embed="rId5" cstate="print"/>
        <a:srcRect/>
        <a:stretch>
          <a:fillRect/>
        </a:stretch>
      </xdr:blipFill>
      <xdr:spPr bwMode="auto">
        <a:xfrm>
          <a:off x="12134850" y="971550"/>
          <a:ext cx="990875" cy="894229"/>
        </a:xfrm>
        <a:prstGeom prst="rect">
          <a:avLst/>
        </a:prstGeom>
        <a:noFill/>
      </xdr:spPr>
    </xdr:pic>
    <xdr:clientData/>
  </xdr:twoCellAnchor>
  <xdr:twoCellAnchor editAs="oneCell">
    <xdr:from>
      <xdr:col>1</xdr:col>
      <xdr:colOff>123826</xdr:colOff>
      <xdr:row>17</xdr:row>
      <xdr:rowOff>73866</xdr:rowOff>
    </xdr:from>
    <xdr:to>
      <xdr:col>1</xdr:col>
      <xdr:colOff>1285876</xdr:colOff>
      <xdr:row>19</xdr:row>
      <xdr:rowOff>0</xdr:rowOff>
    </xdr:to>
    <xdr:pic>
      <xdr:nvPicPr>
        <xdr:cNvPr id="1078" name="il_fi" descr="http://www.acta.asso.fr/diffusion/icta.img/logoitavi.jpg"/>
        <xdr:cNvPicPr>
          <a:picLocks noChangeAspect="1" noChangeArrowheads="1"/>
        </xdr:cNvPicPr>
      </xdr:nvPicPr>
      <xdr:blipFill>
        <a:blip xmlns:r="http://schemas.openxmlformats.org/officeDocument/2006/relationships" r:embed="rId8" cstate="print"/>
        <a:srcRect/>
        <a:stretch>
          <a:fillRect/>
        </a:stretch>
      </xdr:blipFill>
      <xdr:spPr bwMode="auto">
        <a:xfrm>
          <a:off x="123826" y="4960191"/>
          <a:ext cx="1162050" cy="316659"/>
        </a:xfrm>
        <a:prstGeom prst="rect">
          <a:avLst/>
        </a:prstGeom>
        <a:noFill/>
      </xdr:spPr>
    </xdr:pic>
    <xdr:clientData/>
  </xdr:twoCellAnchor>
  <xdr:twoCellAnchor editAs="oneCell">
    <xdr:from>
      <xdr:col>1</xdr:col>
      <xdr:colOff>2</xdr:colOff>
      <xdr:row>0</xdr:row>
      <xdr:rowOff>1</xdr:rowOff>
    </xdr:from>
    <xdr:to>
      <xdr:col>7</xdr:col>
      <xdr:colOff>9525</xdr:colOff>
      <xdr:row>0</xdr:row>
      <xdr:rowOff>2002037</xdr:rowOff>
    </xdr:to>
    <xdr:pic>
      <xdr:nvPicPr>
        <xdr:cNvPr id="1077" name="Picture 53"/>
        <xdr:cNvPicPr>
          <a:picLocks noChangeAspect="1" noChangeArrowheads="1"/>
        </xdr:cNvPicPr>
      </xdr:nvPicPr>
      <xdr:blipFill>
        <a:blip xmlns:r="http://schemas.openxmlformats.org/officeDocument/2006/relationships" r:embed="rId9" cstate="print"/>
        <a:srcRect/>
        <a:stretch>
          <a:fillRect/>
        </a:stretch>
      </xdr:blipFill>
      <xdr:spPr bwMode="auto">
        <a:xfrm>
          <a:off x="2" y="1"/>
          <a:ext cx="9448798" cy="200203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123826</xdr:colOff>
      <xdr:row>9</xdr:row>
      <xdr:rowOff>76200</xdr:rowOff>
    </xdr:from>
    <xdr:to>
      <xdr:col>0</xdr:col>
      <xdr:colOff>720704</xdr:colOff>
      <xdr:row>10</xdr:row>
      <xdr:rowOff>149261</xdr:rowOff>
    </xdr:to>
    <xdr:pic>
      <xdr:nvPicPr>
        <xdr:cNvPr id="33795" name="Picture 3" descr="C:\Documents and Settings\charpiot_a\Local Settings\Temporary Internet Files\Content.IE5\2R3SV6M4\MC900345795[1].wmf"/>
        <xdr:cNvPicPr>
          <a:picLocks noChangeAspect="1" noChangeArrowheads="1"/>
        </xdr:cNvPicPr>
      </xdr:nvPicPr>
      <xdr:blipFill>
        <a:blip xmlns:r="http://schemas.openxmlformats.org/officeDocument/2006/relationships" r:embed="rId1" cstate="print"/>
        <a:srcRect/>
        <a:stretch>
          <a:fillRect/>
        </a:stretch>
      </xdr:blipFill>
      <xdr:spPr bwMode="auto">
        <a:xfrm>
          <a:off x="123826" y="1790700"/>
          <a:ext cx="596878" cy="492162"/>
        </a:xfrm>
        <a:prstGeom prst="rect">
          <a:avLst/>
        </a:prstGeom>
        <a:noFill/>
      </xdr:spPr>
    </xdr:pic>
    <xdr:clientData/>
  </xdr:twoCellAnchor>
  <xdr:twoCellAnchor editAs="oneCell">
    <xdr:from>
      <xdr:col>2</xdr:col>
      <xdr:colOff>800100</xdr:colOff>
      <xdr:row>2</xdr:row>
      <xdr:rowOff>28575</xdr:rowOff>
    </xdr:from>
    <xdr:to>
      <xdr:col>2</xdr:col>
      <xdr:colOff>1629633</xdr:colOff>
      <xdr:row>5</xdr:row>
      <xdr:rowOff>141075</xdr:rowOff>
    </xdr:to>
    <xdr:pic>
      <xdr:nvPicPr>
        <xdr:cNvPr id="21" name="Picture 3" descr="C:\Documents and Settings\charpiot_a\Local Settings\Temporary Internet Files\Content.IE5\2R3SV6M4\MC900345795[1].wmf"/>
        <xdr:cNvPicPr>
          <a:picLocks noChangeAspect="1" noChangeArrowheads="1"/>
        </xdr:cNvPicPr>
      </xdr:nvPicPr>
      <xdr:blipFill>
        <a:blip xmlns:r="http://schemas.openxmlformats.org/officeDocument/2006/relationships" r:embed="rId1" cstate="print"/>
        <a:srcRect/>
        <a:stretch>
          <a:fillRect/>
        </a:stretch>
      </xdr:blipFill>
      <xdr:spPr bwMode="auto">
        <a:xfrm>
          <a:off x="5200650" y="409575"/>
          <a:ext cx="829533" cy="684000"/>
        </a:xfrm>
        <a:prstGeom prst="rect">
          <a:avLst/>
        </a:prstGeom>
        <a:noFill/>
      </xdr:spPr>
    </xdr:pic>
    <xdr:clientData/>
  </xdr:twoCellAnchor>
  <xdr:twoCellAnchor editAs="oneCell">
    <xdr:from>
      <xdr:col>1</xdr:col>
      <xdr:colOff>1485900</xdr:colOff>
      <xdr:row>2</xdr:row>
      <xdr:rowOff>13040</xdr:rowOff>
    </xdr:from>
    <xdr:to>
      <xdr:col>1</xdr:col>
      <xdr:colOff>2507155</xdr:colOff>
      <xdr:row>5</xdr:row>
      <xdr:rowOff>133349</xdr:rowOff>
    </xdr:to>
    <xdr:pic>
      <xdr:nvPicPr>
        <xdr:cNvPr id="22" name="Picture 18" descr="C:\Documents and Settings\charpiot_a\Local Settings\Temporary Internet Files\Content.IE5\3Z0I4UIT\MC900345811[1].wmf"/>
        <xdr:cNvPicPr>
          <a:picLocks noChangeAspect="1" noChangeArrowheads="1"/>
        </xdr:cNvPicPr>
      </xdr:nvPicPr>
      <xdr:blipFill>
        <a:blip xmlns:r="http://schemas.openxmlformats.org/officeDocument/2006/relationships" r:embed="rId2" cstate="print"/>
        <a:srcRect/>
        <a:stretch>
          <a:fillRect/>
        </a:stretch>
      </xdr:blipFill>
      <xdr:spPr bwMode="auto">
        <a:xfrm>
          <a:off x="3676650" y="394040"/>
          <a:ext cx="1026698" cy="691809"/>
        </a:xfrm>
        <a:prstGeom prst="rect">
          <a:avLst/>
        </a:prstGeom>
        <a:noFill/>
      </xdr:spPr>
    </xdr:pic>
    <xdr:clientData/>
  </xdr:twoCellAnchor>
  <xdr:twoCellAnchor editAs="oneCell">
    <xdr:from>
      <xdr:col>1</xdr:col>
      <xdr:colOff>34018</xdr:colOff>
      <xdr:row>2</xdr:row>
      <xdr:rowOff>43543</xdr:rowOff>
    </xdr:from>
    <xdr:to>
      <xdr:col>1</xdr:col>
      <xdr:colOff>767444</xdr:colOff>
      <xdr:row>5</xdr:row>
      <xdr:rowOff>128670</xdr:rowOff>
    </xdr:to>
    <xdr:pic>
      <xdr:nvPicPr>
        <xdr:cNvPr id="23" name="Picture 11" descr="C:\Documents and Settings\charpiot_a\Local Settings\Temporary Internet Files\Content.IE5\RMLY308L\MC900331609[1].wmf"/>
        <xdr:cNvPicPr>
          <a:picLocks noChangeAspect="1" noChangeArrowheads="1"/>
        </xdr:cNvPicPr>
      </xdr:nvPicPr>
      <xdr:blipFill>
        <a:blip xmlns:r="http://schemas.openxmlformats.org/officeDocument/2006/relationships" r:embed="rId3" cstate="print"/>
        <a:srcRect/>
        <a:stretch>
          <a:fillRect/>
        </a:stretch>
      </xdr:blipFill>
      <xdr:spPr bwMode="auto">
        <a:xfrm>
          <a:off x="2224768" y="424543"/>
          <a:ext cx="733426" cy="656627"/>
        </a:xfrm>
        <a:prstGeom prst="rect">
          <a:avLst/>
        </a:prstGeom>
        <a:noFill/>
      </xdr:spPr>
    </xdr:pic>
    <xdr:clientData/>
  </xdr:twoCellAnchor>
  <xdr:twoCellAnchor editAs="oneCell">
    <xdr:from>
      <xdr:col>0</xdr:col>
      <xdr:colOff>1304925</xdr:colOff>
      <xdr:row>13</xdr:row>
      <xdr:rowOff>133350</xdr:rowOff>
    </xdr:from>
    <xdr:to>
      <xdr:col>0</xdr:col>
      <xdr:colOff>2000250</xdr:colOff>
      <xdr:row>16</xdr:row>
      <xdr:rowOff>30373</xdr:rowOff>
    </xdr:to>
    <xdr:pic>
      <xdr:nvPicPr>
        <xdr:cNvPr id="10" name="Picture 18" descr="C:\Documents and Settings\charpiot_a\Local Settings\Temporary Internet Files\Content.IE5\3Z0I4UIT\MC900345811[1].wmf"/>
        <xdr:cNvPicPr>
          <a:picLocks noChangeAspect="1" noChangeArrowheads="1"/>
        </xdr:cNvPicPr>
      </xdr:nvPicPr>
      <xdr:blipFill>
        <a:blip xmlns:r="http://schemas.openxmlformats.org/officeDocument/2006/relationships" r:embed="rId2" cstate="print"/>
        <a:srcRect/>
        <a:stretch>
          <a:fillRect/>
        </a:stretch>
      </xdr:blipFill>
      <xdr:spPr bwMode="auto">
        <a:xfrm>
          <a:off x="1304925" y="2933700"/>
          <a:ext cx="695325" cy="468523"/>
        </a:xfrm>
        <a:prstGeom prst="rect">
          <a:avLst/>
        </a:prstGeom>
        <a:noFill/>
      </xdr:spPr>
    </xdr:pic>
    <xdr:clientData/>
  </xdr:twoCellAnchor>
  <xdr:twoCellAnchor editAs="oneCell">
    <xdr:from>
      <xdr:col>0</xdr:col>
      <xdr:colOff>0</xdr:colOff>
      <xdr:row>23</xdr:row>
      <xdr:rowOff>0</xdr:rowOff>
    </xdr:from>
    <xdr:to>
      <xdr:col>0</xdr:col>
      <xdr:colOff>1905000</xdr:colOff>
      <xdr:row>33</xdr:row>
      <xdr:rowOff>6804</xdr:rowOff>
    </xdr:to>
    <xdr:sp macro="" textlink="">
      <xdr:nvSpPr>
        <xdr:cNvPr id="33816" name="rg_hi" descr="data:image/jpeg;base64,/9j/4AAQSkZJRgABAQAAAQABAAD/2wCEAAkGBhQREBUSEhQTFBIVGBgYFBQYFhUXHBcaFxoYFBoVHRcXGyYgGBkjGhkXHzEgIygqLC4sGB4xOjAqNSYrLCkBCQoKDgwOGg8PGi4lHyQ0Miw0LiwsKi8vKS8tLCwsLCwsNCwwLzQvLSwsLC0sLSwvLCwtLCwsLC8sKTYsKSksNf/AABEIAMsAyAMBIgACEQEDEQH/xAAcAAEAAgMBAQEAAAAAAAAAAAAABgcDBAUCAQj/xABJEAABAwICBwMHCAgFAwUAAAABAAIDBBEFIQYHEjFBUWETIoEUMlJTcZGhFRYjQoKSotEXQ2KxssHS4SQzNGNyk7PwCCU1c4P/xAAaAQEAAwEBAQAAAAAAAAAAAAAAAQIDBQQG/8QALxEAAgECBAUDAwMFAAAAAAAAAAECAxEEEiFRExQxQVJhgbEFIpFxocFCYtHh8f/aAAwDAQACEQMRAD8AvFERAEREAREQBERAEXmSQNBcSAALknIADMkngFXGPa7oI3uiooZa17ci5ndjH27Ha9oFuqhtLVkpOTsiyUUJ1eayflN80UkDqeeHZLmF20C11xe9gQQd46jwmylO4aa0YREQgIiIAiIgCIiAIiIAiIgCIiAIiIAiIgCIiALHU1LY2Oe9waxoLnOJsAALkk8AAvZKoLWVp6/Far5NonWpWn6aUfrC3ef/AK28B9Y58lWUlFOT6ItCDnJRj1ZvaRaXvxmVzI3OZhcZtYXaalw4uO8Rj0ffnu52I4xFSQ9xosMmMaLXJ3NAG8rQxjF4qKJsbdzRZjBvdbj+ZWloVpjTwzmsrKaoqJGH6EMDezhG/bs45v5E7vbu4KpTx1TiVNIdkfUylS+m0ckNarWvp+v8ItTU3oTNSMmrKsFtTVWPZnfGwEuAI4OJN7cABxurJXO0ex+Kupo6mAkxyC4uLEEGxaRwIIIXRXfSsrI+Vbbd2ERFJAREQBERAEREAREQBERAEREAREQBERAFHdKtP6PDR/iZQHkXbE3vPI57I3DqbBdTHMTFNTTTndFG9/3Wk2VKaudXJrg7FsSD6jtCXxQbzKQfPdcgbNxZrbgWHKwVZSyoG/pJrArsZpnU+F0VQ2KTKSoeWtu3ixp80X4naJtcWUcwnQjE6OEtZh204+e8TxlzugHAdArw0Xx2Grg2oGujbG90To3NDDG6PulhaDYWy3LrFt1z603UWWSVttT0UasqMs8HZ+x+X5cbaXmOpiNNUNvsmVm1s+DgD4LkYvtPYT5ayQAeZmy/QNGS/TOlGiNPXxGKpjDvReLB7OrXbx7N3RVnoNo3S0GJnDa+mhlkdeSiqnNv2jd+wWm42sjbkQRyVcNGDl9ujXbR/i+p7631GpVhaqrvdNr8paP8Flas+z+SqUwwmBhjuIySTck3dc5naN3X5FSdfGtAFhkBuC+rqHICIiAIiIAiIgCIiAIiIAiIgCIiAIiIAuRVaXUcV+0qqZuybG80dwd1rXvdddUrrE0D8gnlxOCCCald3qiF4aDG4mxfGTlYk5jmd3Ks20m0rlopN2bsb+tPWdRy4dPTUsvbSyBrLxtcWNBcCbvts5gEWC72N4hXYfHG2ho/KofJ442NDtnsXx7XeLLXc1zXN3Ef5fVU7pVpKamKCBsEkN5mWa5myDyAcMjmQv0wwWAC8Ma85RU5Rs9dL3Nq1KNOWVO5BNXNG7DMP/x7xHPPLJM9pIJBfbLLebAE23XUooNJqed/ZxyXcb2FnC9uVwmOaORVYHabQc3c5pAOe8Zggha+DaIQ0z+0aXufYgFxGV99gAM1m2pas9EI4bg3k5Z9tLeh2ZRkqy13ULhSQ10Xdmo5mPa4bwHED+MMPvVoO3KLaf0PbYXVx84XuHtYO0H8KxTyVYyPKtY2JFguJtqaaKdvmyxteOm0AbeG7wW6oHqRxTtsGhB3xF8R+y64/C4KeLtGIREQBERAEREAREQBERAEREAREQBERAFgrqFk8b4pWh8bwWvadxB3hZ0QFGaYav4qKvwyKKWd8c1T3YZHBwjawxkhpttW7wGd1dyrvS09rpJhkW/soppT02gW3/AFYi8OISTSRe7erCIi8xJ8WnNCHNLXC4cC0joRYhbq15W5rGqu5aBV2oOQwPxCgd50EwIByJHejJt9hp8QreVK1c/yZpWyQ92GvaGuPC77N/7rWnxV1LtU5ZoqRk9GERFcgIiIAiIgCIiALXxDEI4I3SzPbHG0Xc9xAA8SuJpppzBhkQdJd8r8oYG5vkdyA4Nva5/eclT+JNnxCTyjE33be8VI0kRx+APedbjv68F58RiadCN5v27s9eFwlXFTy0177E2xLXpT7RZRU89Y4ZbTRsM+8Re3gtXCddspqYYaugdAyZ4jbIJNuznEAd0tFxmOKjPlYY2zA1jB0AyHwCz6A4U/FMRjnIvR0TtrbtYSTfVaOdsj4ftBeLDY2riKllG0e+508b9Khg6Oac/ufRF7IiLqnBCIiAIiICqYajtdMHjeIKXZ9hIaT/GrRVT6sR5RjmLVe8Nf2TT0LyP4Yh71KtP9Y9PhUXetJUOH0cAOZ/ad6LOvHgvDWTlOyLLoS5FQ0+N47Tsbi8r7xF15KPMNZEbWJj+qDz84ZE71cmjOkcVfTMqYDdjxmOLHcWO5OB/Pis50nDVk3PWkOkUFDA6oqX7EbcuZcTua0fWceSj+D62sNq7NbUNjedzZvo/xO7vxUGxxp0hxjsWuJw2iye4HKR9+9Y8S4jZB9FpPFTPEdUlBVs71MyIgWa6K8ZsPZkfEFbxw6cfuIucLXjgflGHsq4iHOpnbW003vG+wJBHIhjvAqV6IafQTYVDWVE0cXd2ZXPcG/SMycM95NrgDmq7xXUVVQNeKGseGOBDonlzQ4EWILmXabjLNoWvqz1WPjqJPlOkD42BvZbTw5pcTZ1mtdZ2VjnyHNa0abpxy3uQ3cnVTrfZKSzDaSqr3g22mMcyIHrI4Ze5aQxbSSU7TKSihbwa91yPaRIrKpqVkbQyNrWMG5rQGgewDILKVsQVfJV6TAX7HDz0Bz+L1rR61MSov/lMMkDB508IJaBfec3N/EFajGi/FZbICN6L6xKHEcqeZpk4xP7jx9k+d7W3UkUM0l1TUFadvs+wn3iaH6NwPAkDunPpfqo4+vxfBM5h8p0Lf1jbiaNvN28mw53HUIC1ly9JtIY6Glkqpj3I23txcdzWDqTYLS0T07pMSZtU0oLgO9E7uyN9rTvHUXHVVvrcxryrEYcPv9BTDt6gek4jutPsBH/UKpUmoRcn2NKVN1ZqEer0I7TSyVEzsRrDtVE3+THwiZ9VrRwy/fzJWLFsfjhzlf3uDRmT0tw8Vp4yamZ/0JYwHe4nMdByt0UZmwmnjJNRUF775tjFzfqSuDGksRPiVZXb7LW3p6H2PFlgafCoQt/dJpL/Z28NrYq+W1VVMo6JpG2Ll0snHZDWgnxOQ67le+h2l+FER0NBNH3Wns4g14uB3ibuaNo7yc7nNUbo1oVU11jQ0bWRX/wBTPutzF9/2QVcOrrVHFhr/ACiV/b1ZBG3bZawHeGN58No+4Lt0YqEbRjZHy2LqSqzzTnmfvb2v/gsFERbHjCIiALWxGr7KGSU7o2OefstLv5LZXx7AQQQCDkQc7g8EB+XtFtaT8PoZoqePaq6iZz3SuzawEADZbvc6+0c8hfirC1f6q3GQV+Ikz1b7PDX94Rk2ILr+dIOW5vhllgwOHEMbMMMUUdBhpDpGxsa0S1J3A2Gezbw2T6StiO24cFCilqDUqMMa5hbYG4IIOYcDkQQeBVP43qtq6eV/yTUGCGfuzwl5aGA5Eg57TbX/AGhwuruWKWma43IzUgjmg+h0VBSshZmBm5xFjI873n9wHAAKRz1LIxtPc1jbgXcQ0XOQFzxK+zTNjYXuIaxoJc45AAC5JPAAKrsFhfj9eK6UEYZTPIpIT+ue05zObxAPPoPSQFqr5sr6uBpjpV5BC17aeepke7YjjiaTd1r5kA7I62PsQHfXLxnSmlpBepqIYujngOPsb5x8AoBDheN4odqplGGUp/VRZzEci69wfaR/x4KSYPqsw6l7/YCaXjLOe1cTz72V/YEByajXdSuOzSU9ZVn/AGoTb3nP4LnO1y1l8sErLdTID7uw/mplpDpdR4bGDPIyFtu5G0d53/GNufju6qqcb1yz17zTUDoqOI5OqZ5GsdbmLmzPs7TvYgLW0H05ixSB0sTXxuY7YkifvY7fvG8f33KSKD6rMPoqWl7GlqoqmUkvmka9ri553mwNwNwH91OEBAtLtU1NUu8ppnGirG95s8XdBPNzRb3ix9qp7FoKujrX/KA25KkgNqGkESbFmi1rZZtvkDuyX6OxCfPZ4DevzPpDpE6txYVJBNP2hhpyb7IDALWPPvhx/wCYWNeKlTkmerBTcMRBxfdfvodKrDTG4PJDLd61728M1G3R4b6Un4vyXVw6nr5aqeOnYKgxDtDFcB2wSANncSRcZBa1UKaV5bMx1LUNOYcNgh3W+Rz52XLpUp0ld3s9bx/lH0uJxFLEycYqOeN1aa+Hexq01fBC4PpaqpgkG4t2v5WV5an9OKuvjkZVxE9lbZqdgsEl8rEEefxuOB3DjF9WWnBbVsoK1sMxkyp6lrGbRPBjyBne285333vcXdZdWkla6ba9T5nESblaUVFrb/oREWp5giIgC4mmukAoaCepyvGw7A5vPdYPvELtqvNb/wBL8n0hNmVFZGJOrW5ke8j3IDp6sdHjSYZGH3M8/wBPOTvL5e9n1DbDwKlYFrDnvUTx3WrQUkzacyGWZzgzs4QHlpJsATfZB6Xv0UwQHkOzIXtEQFc65q2R9NDQwnZfWTshJ/Z853h5t+l1NMEw1lNDHBELRxsDGDoOPtOZPUlQDTGT/wB+wna8zanty29w8bbKsZAbaLA2fmvYnCAyLxKcl87YLG8g8SgIri+ragqqh1RPB2krrbRL5LGwsO6DYZDgtSs1aYPDG6WWlhZGwFz3ufIA0DiTtKYrFVUrJWOjka17HCzmOAII5EHegPz03SXDI8ap5qJpo6WAkyzfSu7b9kR3JAO7Pnc7rK+tHdNaOvB8lnZIWi7m5tcBzLXAG3VYY9EqJosKSlAH+zH+8hVpG6nn0jhGGsjZHTRv8qlhaGseSCNnu5EXLW34m/JAS/WRi5gwyqlBs4sLWnkZCGe+xPuURrNWjpNGabsWnyqL/FADe7tBtOYOuxsW5lgC39cQdLBS0TPPqqljAOjd58C9pVsU1OI2NY0Wa0BrR0aLD4BAUhqI26jEaqq2S1jYGRu/5uc02/A4+5W/jei1LWC1TBFLbcXNFx7HDMe9dGKBrb7LQ25ubAC5PE23lZFWMVFWRepOVSTnLqyJ4Lqtw6knbPDTgStzY4ue7ZJ4gOJAPVSxEVigREQBERAFxtKdEafEYhFUsLmtdtNIcWua61rhw6FdlEBTWPaLUdDjOEQRxMhgBlkMhOckg2dkOe7M2LWWufr9VaWG49TVL3sgnilfGbvax7XFt917FYtJdEqbEYhFVRiRrTtNzc0tO64c0gjJQSfA4cCxKnlp2iKjqmeTSZuOxM07cby5xJs7zfAoC00WOGUOFx4jksiAgmsjRJ1bDaJ3Z1MLxNTSbrPHC/AG2/gQCtDRLWkyR3kmIjySuZk8Sdxkh9Jrjk0nfY5ciVYdVTbY6jcotpDonTVjdiqha+25xyc32PGYHjZASQbr8OaKsWasZaf/AEGJVdO3hG49owe4jLwWUYDjgyGKwkczAL/FiAslfbKs36PY47I4rE0c2wgH4MWq/VVPP/rMUq5gd7W3a0/ecR+FATvGNNaKkB7ephYR9XaDnezYZc/BRGp11RSu7PDqWorJeFmljR1JzNvALPhWqHDobWgMzhxlc59/a0Wb8FNKPBxGzZY1kUY+q0BoHg3JAVtVaPYvimVdUMoqY76eDNzhycQc/tOI6cFMNHNF6egi7KmZsg5ucc3PPNzuJ+AXakc0ZNz/AGj/AC5KG6xtIXwQNpqa7q2rPZQMb5wBydJ0sMgeZvwKA1sBcMTx507e9S4awxsdwdO+4cRzt3vut5q01G9X+iDcMoY6cWMnnTPH1pHbz7BkB0CkiAIiIAiIgCIiAIiIAiIgC4+lujjK+jlpX5CRvdd6Lxm1/gbfFdhEBWerTS6R7X0VV3a6kOxK0/rGN7ok68AT1B+srEhrWu6HqoZp3q8fUTsr6GQQYhEN58yZo+o/rbK/LI8CNDA9P2uk8kr2eR1wyMb8mScnRvORB4C/sJQFlLy+MO3gFchlQ5u4lZ24i7oUBsOw5p3XC8fJg9I+4LH8pHkPivhxJ3IIDMMNHEn4L35KxuZ+JWk6seePuyWEuvvQHQfXtbk0X+AWlLOXbz4LSxHE4qeMyzyMijG9zyAP7noM1EY9JazFSY8KjMVPch9fM2w//KM+cep+CA7WkWlsdKWxNaZ6uTKGljze8ncXegzm48itrQ/Qx8Urq6tc2WvlFrjzIGcIY78ObuPvvuaI6CQYeHObtS1En+dUyHakkPHM+a3oPipIgCIiAIiIAiIgCIiAIiIAiIgCIiALjaTaIUuIxdnVRB4Hmu3OYebXDMfuXZRAVcNVVfTZUGKytjHmxTM2wOl8xb7K+bOkFP58FHWNHoO7Nx65lo+CtJEBVL9YNZDfynB61oG90f0rfeG2+K1/010ty001aHNyc3s23aeRG1kVbyqHT/s8PxqGre50dPWROZO4AlokjtsuNuhb8eqzqSlGDcVd7F6ai5JSdka2I67o2M2o6KqNzsgyARtJ5bQ2rnouxTtx2rGUVJQMP1nkyyAcwLkX9tvBQ3TLGqev8noqJ5qJpJ4ydkOs1ovfMge3oAV+gGtsLKmHqSqQzTVnsWrRjGVoO6IJhmqSDtBPXyy1844zH6Np/ZiGQHQ3U6jjDQGtADQLAAWAA3AAbgvSLcyCIiAIiIAiIgCLjYtUOkmjpmEt2u/K4ZEMH1QeBccvYuyFSM8zaXYhMIiK5IRalfikUABlcG33ZE3t7Aue7TKmH1yfsO/JZSrU4u0pJe5Dkl1Z20Uf+fFPzf8AdXn59U/+593+6pzNHyRGeO5IlHdLMZlpzGY9nZdtbVxe5FsumV18+fdPyk+6PzXH0n0ihqYmtYHhzXAi4AFrEHj1XnxGJg6byS1KTmraMlOH44yWnM27ZB22+iQLkfkovgOMzT1jdp7tjvOLRk0AA5W5blHoat7Gva0kNeLOHMb1jZKW3sSLixtxHL2LnzxspuF+3X1MXUbsW811xcZhfVB8C0wbDCI5GvcW3sRbdvAzPBdD5/Rerk/D+a6kcbRcU27G6qRJQoPrpaDglTcA22LZXse0aLjlxz6rh6XacYjI8Nw9sMMY3vlIc9x5bJBDW+8+xQHSulxjEg1tTNCWNGUbXbDSfTLQM3f+Cy05mj5L8k547m//AOm5hNZUmw2RC25tuJeLZ+zaX6DX5z0Ao8RwmZz4hTyRybIljc+20G3tZwbdpG07PMZ5gq32awW2F4Xg8RtNNul+Kh4qiv6kM8dyWoon+kBnqn/ean6QGeqf95qrzlDy+RxI7ksRRP8ASAz1T/vNT9IDPVP+81OcoeXyOJHc2q3SrsaswvA7Kze9ncE53PMLHi2mQhm7NjA8C207a552GXJRLG8RFRO6UAtBAFjnuFuC0geK5dTHVE2ovS+j9DB1X2LadWMBDS9ocdzS4A59FhlxeJsgidI0SG1m357h0VWPkJcXEkuJuSd9997r3UVLnvL3G7nG5PVbP6m+0S3G9Ds1mkBbNUPYbPeQxjvRY29yOuQ96lujNI6OnaXlxe/vuuSTnuGfSyrineA9peC5oILhz42v1UwbrAZxhd4Oaq4TERUnKpL9PfVkQmr3bJai5+D41HUtLmXGybOBGYvuRdmMlJXj0PQnc94pg8dQAJATsm4IJBF8uC5D9BIDudIPtA/vCkiLOdCnN3lFXIcU+qIwdAYvWS/g/pXg6AR+sk9zfyUqRZ8nR8SOHHYivzAj9a/3NT5gR+tf7mqVInJ0PEcOOxFfmBH61/uanzAj9a/3NUqROToeI4cdiKfMCP1r/c1ef0ft9a77o/NS1FHJUPH5I4cdiJHV+31zvuj815/R8PXH7g/qUvROSoeP7scOOxEWav28ZneDAP5lZBoBH6yT3N/JSpE5Kh4/I4cdiL/MGL1kv4PyT5gxesl/B+SlCKeTo+JPDjsRf5gxesl/B+SfMGL1kv4PyUoROTo+I4cdiMDQGL1kv4P6V9+YUPpy+9n9KkyKeUo+KGSOxGfmFD6cvvZ/SnzCh9OX3s/pUmROUo+KGSOxGfmFD6cvvZ/SnzCh9OX3s/pUmROUo+KGSOxz8HwRlM0tZtHaNyXWueAGQG5F0EW8YqKtHoWSt0P/2Q=="/>
        <xdr:cNvSpPr>
          <a:spLocks noChangeAspect="1" noChangeArrowheads="1"/>
        </xdr:cNvSpPr>
      </xdr:nvSpPr>
      <xdr:spPr bwMode="auto">
        <a:xfrm>
          <a:off x="0" y="4705350"/>
          <a:ext cx="1905000" cy="19335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17</xdr:row>
      <xdr:rowOff>19051</xdr:rowOff>
    </xdr:from>
    <xdr:to>
      <xdr:col>0</xdr:col>
      <xdr:colOff>619125</xdr:colOff>
      <xdr:row>20</xdr:row>
      <xdr:rowOff>1302</xdr:rowOff>
    </xdr:to>
    <xdr:pic>
      <xdr:nvPicPr>
        <xdr:cNvPr id="2" name="Image 1"/>
        <xdr:cNvPicPr>
          <a:picLocks noChangeAspect="1"/>
        </xdr:cNvPicPr>
      </xdr:nvPicPr>
      <xdr:blipFill>
        <a:blip xmlns:r="http://schemas.openxmlformats.org/officeDocument/2006/relationships" r:embed="rId4" cstate="print"/>
        <a:stretch>
          <a:fillRect/>
        </a:stretch>
      </xdr:blipFill>
      <xdr:spPr>
        <a:xfrm>
          <a:off x="76200" y="3581401"/>
          <a:ext cx="542925" cy="5510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ULPO~1\AppData\Local\Temp\Calculateur%20effluent%20version%20test%20non%20verrouill&#233;e%2029%20Janvier%202014-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ULPO~1\AppData\Local\Temp\Calculateur%20effluent%20version%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levasseur\Local%20Settings\Temporary%20Internet%20Files\Content.Outlook\RZMFHYZ2\Copie%20de%20Copie%20de%20Calculateur%20effluent%20V1_ITAVI-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le saisie commune"/>
      <sheetName val="Saisie 2_bovins"/>
      <sheetName val="Calculs_bovins"/>
      <sheetName val="param_bovins"/>
      <sheetName val="Porc (Effectif détaillé)"/>
      <sheetName val="Porc (Effluents)"/>
      <sheetName val="Porc (Aliments)"/>
      <sheetName val="Param_porcs"/>
      <sheetName val="Simulation simplifiée"/>
      <sheetName val="Volaille (Descriptif élevage)"/>
      <sheetName val="Volaille (Alimentation)"/>
      <sheetName val="Volailles (Calcul excrétion)"/>
      <sheetName val="Résultats communs"/>
      <sheetName val="Param_volail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A17" t="str">
            <v>paille de blé</v>
          </cell>
        </row>
        <row r="18">
          <cell r="A18" t="str">
            <v>copeaux</v>
          </cell>
        </row>
        <row r="19">
          <cell r="A19" t="str">
            <v>Paille + copeaux</v>
          </cell>
        </row>
        <row r="33">
          <cell r="A33" t="str">
            <v>Fumier</v>
          </cell>
          <cell r="B33">
            <v>0.32</v>
          </cell>
          <cell r="C33">
            <v>0.15</v>
          </cell>
          <cell r="D33">
            <v>0.55000000000000004</v>
          </cell>
          <cell r="E33">
            <v>0.5</v>
          </cell>
          <cell r="F33">
            <v>0.5</v>
          </cell>
          <cell r="G33">
            <v>0.35</v>
          </cell>
          <cell r="H33">
            <v>0.5</v>
          </cell>
        </row>
        <row r="34">
          <cell r="A34" t="str">
            <v xml:space="preserve">Lisier </v>
          </cell>
          <cell r="B34">
            <v>0.21</v>
          </cell>
          <cell r="C34">
            <v>0.2</v>
          </cell>
          <cell r="D34">
            <v>0.55000000000000004</v>
          </cell>
          <cell r="E34">
            <v>0.5</v>
          </cell>
          <cell r="F34">
            <v>0.5</v>
          </cell>
          <cell r="G34">
            <v>0.35</v>
          </cell>
          <cell r="H34">
            <v>0.5</v>
          </cell>
        </row>
        <row r="35">
          <cell r="A35" t="str">
            <v>Fientes</v>
          </cell>
          <cell r="B35">
            <v>0.25</v>
          </cell>
          <cell r="C35">
            <v>0.25</v>
          </cell>
          <cell r="D35">
            <v>0.55000000000000004</v>
          </cell>
          <cell r="E35">
            <v>0.5</v>
          </cell>
          <cell r="F35">
            <v>0.5</v>
          </cell>
          <cell r="G35">
            <v>0.35</v>
          </cell>
          <cell r="H35">
            <v>0.5</v>
          </cell>
        </row>
        <row r="43">
          <cell r="A43" t="str">
            <v>Poules Pondeuses</v>
          </cell>
        </row>
        <row r="52">
          <cell r="A52" t="str">
            <v>Poules Pondeuses</v>
          </cell>
          <cell r="B52">
            <v>18.399999999999999</v>
          </cell>
          <cell r="C52">
            <v>2.15</v>
          </cell>
          <cell r="D52">
            <v>1.2</v>
          </cell>
          <cell r="E52">
            <v>36</v>
          </cell>
          <cell r="F52">
            <v>8.9999999999999998E-4</v>
          </cell>
          <cell r="G52">
            <v>1.26E-2</v>
          </cell>
          <cell r="H52">
            <v>0.23</v>
          </cell>
        </row>
        <row r="58">
          <cell r="A58" t="str">
            <v>Poulet de chair</v>
          </cell>
          <cell r="B58">
            <v>14</v>
          </cell>
          <cell r="C58">
            <v>510</v>
          </cell>
          <cell r="D58">
            <v>0.63</v>
          </cell>
          <cell r="E58">
            <v>0.8</v>
          </cell>
        </row>
        <row r="59">
          <cell r="A59" t="str">
            <v>Dinde de chair</v>
          </cell>
          <cell r="B59">
            <v>17.25</v>
          </cell>
          <cell r="C59">
            <v>430</v>
          </cell>
          <cell r="D59">
            <v>0.52</v>
          </cell>
          <cell r="E59">
            <v>0.8</v>
          </cell>
        </row>
        <row r="60">
          <cell r="A60" t="str">
            <v>Canard à rôtir</v>
          </cell>
          <cell r="B60">
            <v>5.4</v>
          </cell>
          <cell r="C60">
            <v>99</v>
          </cell>
          <cell r="D60">
            <v>0.125</v>
          </cell>
          <cell r="E60">
            <v>0.65</v>
          </cell>
        </row>
        <row r="61">
          <cell r="A61" t="str">
            <v>Pintade de chair</v>
          </cell>
          <cell r="B61">
            <v>21</v>
          </cell>
          <cell r="C61">
            <v>430</v>
          </cell>
          <cell r="D61">
            <v>0.68</v>
          </cell>
          <cell r="E61">
            <v>0.8</v>
          </cell>
        </row>
        <row r="62">
          <cell r="A62" t="str">
            <v>Poules Pondeuses</v>
          </cell>
          <cell r="B62">
            <v>35.724999999999994</v>
          </cell>
          <cell r="C62">
            <v>581.75</v>
          </cell>
          <cell r="D62">
            <v>0.79874999999999996</v>
          </cell>
          <cell r="E62">
            <v>0.72799999999999998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isie 1_Feuille commune"/>
      <sheetName val="Saisie 2_bovins"/>
      <sheetName val="Calculs_bovins"/>
      <sheetName val="Effectif détaillé"/>
      <sheetName val="Volumes effluents"/>
      <sheetName val="Aliments"/>
      <sheetName val="Calcul Simplifié"/>
      <sheetName val="Volaillle (Descriptif élevage)"/>
      <sheetName val="Volaille (Alimentation)"/>
      <sheetName val="Volailles (Calcul excrétion)"/>
      <sheetName val="Résultats communs"/>
      <sheetName val="param_bovins"/>
      <sheetName val="Param_porcs"/>
      <sheetName val="Param_volail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A17" t="str">
            <v>paille de blé</v>
          </cell>
        </row>
        <row r="18">
          <cell r="A18" t="str">
            <v>copeaux</v>
          </cell>
        </row>
        <row r="19">
          <cell r="A19" t="str">
            <v>Paille + copeaux</v>
          </cell>
        </row>
        <row r="22">
          <cell r="A22" t="str">
            <v>Poulet de chair</v>
          </cell>
          <cell r="B22" t="str">
            <v>Fumier</v>
          </cell>
        </row>
        <row r="23">
          <cell r="A23" t="str">
            <v>Dinde de chair</v>
          </cell>
          <cell r="B23" t="str">
            <v>Fumier</v>
          </cell>
        </row>
        <row r="24">
          <cell r="A24" t="str">
            <v>Canard à rôtir</v>
          </cell>
          <cell r="B24" t="str">
            <v xml:space="preserve">Lisier </v>
          </cell>
        </row>
        <row r="25">
          <cell r="A25" t="str">
            <v>Pintade de chair</v>
          </cell>
          <cell r="B25" t="str">
            <v>Fumier</v>
          </cell>
        </row>
        <row r="26">
          <cell r="A26" t="str">
            <v>Poules Pondeuses</v>
          </cell>
          <cell r="B26" t="str">
            <v>Fientes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isie 1_Feuille commune"/>
      <sheetName val="Saisie 2_bovins"/>
      <sheetName val="Elevage"/>
      <sheetName val="Volume_Minéralisation"/>
      <sheetName val="Aliments"/>
      <sheetName val="Stock_Alim_Début"/>
      <sheetName val="Stock_Alim_Fin"/>
      <sheetName val="Volailles 1"/>
      <sheetName val="Volailles 2"/>
      <sheetName val="Param_volailles"/>
      <sheetName val="Calculs_bovins"/>
      <sheetName val="Résultats communs"/>
      <sheetName val="param_bovins"/>
      <sheetName val="Param_porcs"/>
    </sheetNames>
    <sheetDataSet>
      <sheetData sheetId="0"/>
      <sheetData sheetId="1"/>
      <sheetData sheetId="2"/>
      <sheetData sheetId="3"/>
      <sheetData sheetId="4"/>
      <sheetData sheetId="5"/>
      <sheetData sheetId="6"/>
      <sheetData sheetId="7"/>
      <sheetData sheetId="8">
        <row r="3">
          <cell r="A3" t="str">
            <v>Lisier poule pondeuse</v>
          </cell>
        </row>
        <row r="4">
          <cell r="A4" t="str">
            <v>Fiente humide</v>
          </cell>
        </row>
        <row r="5">
          <cell r="A5" t="str">
            <v>Fientes préséchées</v>
          </cell>
        </row>
        <row r="6">
          <cell r="A6" t="str">
            <v>Fientes séchées</v>
          </cell>
        </row>
        <row r="8">
          <cell r="A8" t="str">
            <v>Fumier de poulette</v>
          </cell>
        </row>
        <row r="10">
          <cell r="A10" t="str">
            <v>Fumier poulet standard</v>
          </cell>
        </row>
        <row r="11">
          <cell r="A11" t="str">
            <v>Fumier poulet label</v>
          </cell>
        </row>
        <row r="12">
          <cell r="A12" t="str">
            <v>Fumier poulet certifié</v>
          </cell>
        </row>
        <row r="14">
          <cell r="A14" t="str">
            <v>Lisier de canard</v>
          </cell>
        </row>
        <row r="15">
          <cell r="A15" t="str">
            <v>Fumier canard PAG</v>
          </cell>
        </row>
        <row r="17">
          <cell r="A17" t="str">
            <v>Fumier pintade label</v>
          </cell>
        </row>
        <row r="18">
          <cell r="A18" t="str">
            <v>Fumier pintade</v>
          </cell>
        </row>
        <row r="19">
          <cell r="A19" t="str">
            <v xml:space="preserve">Fumier dinde standard </v>
          </cell>
        </row>
        <row r="20">
          <cell r="A20" t="str">
            <v>Fumier dinde certifiée</v>
          </cell>
        </row>
      </sheetData>
      <sheetData sheetId="9"/>
      <sheetData sheetId="10"/>
      <sheetData sheetId="11"/>
      <sheetData sheetId="12"/>
      <sheetData sheetId="13"/>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FF0000"/>
  </sheetPr>
  <dimension ref="A1:DC550"/>
  <sheetViews>
    <sheetView showGridLines="0" showRowColHeaders="0" tabSelected="1" topLeftCell="B1" zoomScaleNormal="100" workbookViewId="0">
      <selection activeCell="B25" sqref="B25"/>
    </sheetView>
  </sheetViews>
  <sheetFormatPr baseColWidth="10" defaultColWidth="0" defaultRowHeight="15" zeroHeight="1" x14ac:dyDescent="0.25"/>
  <cols>
    <col min="1" max="1" width="15" style="297" hidden="1" customWidth="1"/>
    <col min="2" max="2" width="20" style="297" customWidth="1"/>
    <col min="3" max="3" width="20.85546875" style="297" customWidth="1"/>
    <col min="4" max="4" width="18.140625" style="297" customWidth="1"/>
    <col min="5" max="5" width="15" style="298" customWidth="1"/>
    <col min="6" max="6" width="48" style="297" customWidth="1"/>
    <col min="7" max="7" width="19.5703125" style="297" customWidth="1"/>
    <col min="8" max="8" width="32.5703125" style="298" customWidth="1"/>
    <col min="9" max="9" width="25.42578125" style="297" customWidth="1"/>
    <col min="10" max="10" width="18.7109375" style="297" hidden="1" customWidth="1"/>
    <col min="11" max="11" width="11.42578125" style="297" hidden="1" customWidth="1"/>
    <col min="12" max="12" width="15.140625" style="297" hidden="1" customWidth="1"/>
    <col min="13" max="13" width="15" style="297" hidden="1" customWidth="1"/>
    <col min="14" max="107" width="0" style="297" hidden="1" customWidth="1"/>
    <col min="108" max="16384" width="11.42578125" style="297" hidden="1"/>
  </cols>
  <sheetData>
    <row r="1" spans="2:107" ht="164.25" customHeight="1" x14ac:dyDescent="0.25">
      <c r="B1" s="1048"/>
      <c r="C1" s="1049"/>
      <c r="D1" s="1049"/>
      <c r="E1" s="1049"/>
      <c r="F1" s="1049"/>
      <c r="G1" s="1049"/>
      <c r="H1" s="1049"/>
      <c r="I1" s="1049"/>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row>
    <row r="2" spans="2:107" ht="5.25" customHeight="1" thickBot="1" x14ac:dyDescent="0.3">
      <c r="B2" s="565"/>
      <c r="C2" s="565"/>
      <c r="D2" s="565"/>
      <c r="E2" s="569"/>
      <c r="F2" s="565"/>
      <c r="G2" s="570"/>
      <c r="H2" s="569"/>
      <c r="I2" s="56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row>
    <row r="3" spans="2:107" s="299" customFormat="1" ht="15" customHeight="1" x14ac:dyDescent="0.25">
      <c r="B3" s="566"/>
      <c r="C3" s="1057" t="s">
        <v>0</v>
      </c>
      <c r="D3" s="1058"/>
      <c r="E3" s="874"/>
      <c r="F3" s="874"/>
      <c r="G3" s="1063" t="s">
        <v>606</v>
      </c>
      <c r="H3" s="571"/>
      <c r="I3" s="566"/>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row>
    <row r="4" spans="2:107" s="299" customFormat="1" x14ac:dyDescent="0.25">
      <c r="B4" s="566"/>
      <c r="C4" s="1059"/>
      <c r="D4" s="1060"/>
      <c r="E4" s="558"/>
      <c r="F4" s="559"/>
      <c r="G4" s="1064"/>
      <c r="H4" s="571"/>
      <c r="I4" s="566"/>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0"/>
      <c r="BQ4" s="300"/>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row>
    <row r="5" spans="2:107" s="299" customFormat="1" x14ac:dyDescent="0.25">
      <c r="B5" s="566"/>
      <c r="C5" s="1050" t="s">
        <v>446</v>
      </c>
      <c r="D5" s="1051"/>
      <c r="E5" s="873" t="s">
        <v>813</v>
      </c>
      <c r="F5" s="560" t="s">
        <v>5</v>
      </c>
      <c r="G5" s="561" t="s">
        <v>6</v>
      </c>
      <c r="H5" s="566"/>
      <c r="I5" s="566"/>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300"/>
      <c r="BR5" s="300"/>
      <c r="BS5" s="300"/>
      <c r="BT5" s="300"/>
      <c r="BU5" s="300"/>
      <c r="BV5" s="300"/>
      <c r="BW5" s="300"/>
      <c r="BX5" s="300"/>
      <c r="BY5" s="300"/>
      <c r="BZ5" s="300"/>
      <c r="CA5" s="300"/>
      <c r="CB5" s="300"/>
      <c r="CC5" s="300"/>
      <c r="CD5" s="300"/>
      <c r="CE5" s="300"/>
      <c r="CF5" s="300"/>
      <c r="CG5" s="300"/>
      <c r="CH5" s="300"/>
      <c r="CI5" s="300"/>
      <c r="CJ5" s="300"/>
      <c r="CK5" s="300"/>
      <c r="CL5" s="300"/>
      <c r="CM5" s="300"/>
      <c r="CN5" s="300"/>
      <c r="CO5" s="300"/>
      <c r="CP5" s="300"/>
      <c r="CQ5" s="300"/>
      <c r="CR5" s="300"/>
      <c r="CS5" s="300"/>
      <c r="CT5" s="300"/>
      <c r="CU5" s="300"/>
      <c r="CV5" s="300"/>
      <c r="CW5" s="300"/>
      <c r="CX5" s="300"/>
      <c r="CY5" s="300"/>
      <c r="CZ5" s="300"/>
      <c r="DA5" s="300"/>
      <c r="DB5" s="300"/>
      <c r="DC5" s="300"/>
    </row>
    <row r="6" spans="2:107" x14ac:dyDescent="0.25">
      <c r="B6" s="565"/>
      <c r="C6" s="1054" t="s">
        <v>2</v>
      </c>
      <c r="D6" s="1055"/>
      <c r="E6" s="864">
        <v>46</v>
      </c>
      <c r="F6" s="631" t="s">
        <v>9</v>
      </c>
      <c r="G6" s="867">
        <v>1</v>
      </c>
      <c r="H6" s="569"/>
      <c r="I6" s="565"/>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row>
    <row r="7" spans="2:107" x14ac:dyDescent="0.25">
      <c r="B7" s="565"/>
      <c r="C7" s="1056" t="s">
        <v>3</v>
      </c>
      <c r="D7" s="1055"/>
      <c r="E7" s="865">
        <v>0</v>
      </c>
      <c r="F7" s="632" t="s">
        <v>10</v>
      </c>
      <c r="G7" s="867"/>
      <c r="H7" s="569"/>
      <c r="I7" s="565"/>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row>
    <row r="8" spans="2:107" x14ac:dyDescent="0.25">
      <c r="B8" s="565"/>
      <c r="C8" s="1056" t="s">
        <v>51</v>
      </c>
      <c r="D8" s="1055"/>
      <c r="E8" s="865">
        <v>9</v>
      </c>
      <c r="F8" s="632" t="s">
        <v>442</v>
      </c>
      <c r="G8" s="867">
        <v>1.5</v>
      </c>
      <c r="H8" s="569"/>
      <c r="I8" s="565"/>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row>
    <row r="9" spans="2:107" x14ac:dyDescent="0.25">
      <c r="B9" s="565"/>
      <c r="C9" s="1054" t="s">
        <v>52</v>
      </c>
      <c r="D9" s="1055"/>
      <c r="E9" s="865">
        <v>18</v>
      </c>
      <c r="F9" s="632" t="s">
        <v>442</v>
      </c>
      <c r="G9" s="867">
        <v>5</v>
      </c>
      <c r="H9" s="569"/>
      <c r="I9" s="565"/>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row>
    <row r="10" spans="2:107" x14ac:dyDescent="0.25">
      <c r="B10" s="565"/>
      <c r="C10" s="1054" t="s">
        <v>53</v>
      </c>
      <c r="D10" s="1055"/>
      <c r="E10" s="865">
        <v>18</v>
      </c>
      <c r="F10" s="632" t="s">
        <v>442</v>
      </c>
      <c r="G10" s="867">
        <v>5</v>
      </c>
      <c r="H10" s="569"/>
      <c r="I10" s="565"/>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row>
    <row r="11" spans="2:107" x14ac:dyDescent="0.25">
      <c r="B11" s="567"/>
      <c r="C11" s="1054" t="s">
        <v>54</v>
      </c>
      <c r="D11" s="1055"/>
      <c r="E11" s="865">
        <v>0</v>
      </c>
      <c r="F11" s="632" t="s">
        <v>12</v>
      </c>
      <c r="G11" s="867"/>
      <c r="H11" s="569"/>
      <c r="I11" s="565"/>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row>
    <row r="12" spans="2:107" x14ac:dyDescent="0.25">
      <c r="B12" s="565"/>
      <c r="C12" s="1054" t="s">
        <v>55</v>
      </c>
      <c r="D12" s="1055"/>
      <c r="E12" s="865">
        <v>0</v>
      </c>
      <c r="F12" s="632" t="s">
        <v>12</v>
      </c>
      <c r="G12" s="867"/>
      <c r="H12" s="567"/>
      <c r="I12" s="565"/>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row>
    <row r="13" spans="2:107" ht="15.75" thickBot="1" x14ac:dyDescent="0.3">
      <c r="B13" s="565"/>
      <c r="C13" s="1052" t="s">
        <v>56</v>
      </c>
      <c r="D13" s="1053"/>
      <c r="E13" s="866">
        <v>0</v>
      </c>
      <c r="F13" s="633" t="s">
        <v>11</v>
      </c>
      <c r="G13" s="868"/>
      <c r="H13" s="565"/>
      <c r="I13" s="565"/>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row>
    <row r="14" spans="2:107" x14ac:dyDescent="0.25">
      <c r="B14" s="565"/>
      <c r="C14" s="1065" t="s">
        <v>447</v>
      </c>
      <c r="D14" s="1066"/>
      <c r="E14" s="562" t="s">
        <v>453</v>
      </c>
      <c r="F14" s="601" t="s">
        <v>876</v>
      </c>
      <c r="G14" s="563" t="s">
        <v>303</v>
      </c>
      <c r="H14" s="565"/>
      <c r="I14" s="565"/>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row>
    <row r="15" spans="2:107" x14ac:dyDescent="0.25">
      <c r="B15" s="565"/>
      <c r="C15" s="1067" t="s">
        <v>635</v>
      </c>
      <c r="D15" s="1068"/>
      <c r="E15" s="871">
        <v>200</v>
      </c>
      <c r="F15" s="631" t="s">
        <v>451</v>
      </c>
      <c r="G15" s="882"/>
      <c r="H15" s="565"/>
      <c r="I15" s="565"/>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row>
    <row r="16" spans="2:107" x14ac:dyDescent="0.25">
      <c r="B16" s="565"/>
      <c r="C16" s="1035" t="s">
        <v>634</v>
      </c>
      <c r="D16" s="1036"/>
      <c r="E16" s="872">
        <v>4480</v>
      </c>
      <c r="F16" s="632" t="s">
        <v>1029</v>
      </c>
      <c r="G16" s="883"/>
      <c r="H16" s="565"/>
      <c r="I16" s="565"/>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row>
    <row r="17" spans="2:107" x14ac:dyDescent="0.25">
      <c r="B17" s="565"/>
      <c r="C17" s="1035" t="s">
        <v>471</v>
      </c>
      <c r="D17" s="1036"/>
      <c r="E17" s="872">
        <v>4480</v>
      </c>
      <c r="F17" s="634" t="s">
        <v>983</v>
      </c>
      <c r="G17" s="884"/>
      <c r="H17" s="565"/>
      <c r="I17" s="565"/>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row>
    <row r="18" spans="2:107" x14ac:dyDescent="0.25">
      <c r="B18" s="291"/>
      <c r="C18" s="564" t="s">
        <v>799</v>
      </c>
      <c r="D18" s="564" t="s">
        <v>800</v>
      </c>
      <c r="E18" s="564" t="s">
        <v>813</v>
      </c>
      <c r="F18" s="564"/>
      <c r="G18" s="565"/>
      <c r="H18" s="565"/>
      <c r="I18" s="565"/>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row>
    <row r="19" spans="2:107" ht="15.75" thickBot="1" x14ac:dyDescent="0.3">
      <c r="B19" s="565"/>
      <c r="C19" s="960" t="s">
        <v>795</v>
      </c>
      <c r="D19" s="961" t="s">
        <v>801</v>
      </c>
      <c r="E19" s="959">
        <v>30000</v>
      </c>
      <c r="F19" s="633" t="s">
        <v>808</v>
      </c>
      <c r="G19" s="565"/>
      <c r="H19" s="565"/>
      <c r="I19" s="565"/>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row>
    <row r="20" spans="2:107" ht="15.75" thickBot="1" x14ac:dyDescent="0.3">
      <c r="B20" s="565"/>
      <c r="C20" s="575"/>
      <c r="D20" s="575"/>
      <c r="E20" s="578"/>
      <c r="F20" s="575"/>
      <c r="G20" s="575"/>
      <c r="H20" s="569"/>
      <c r="I20" s="565"/>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row>
    <row r="21" spans="2:107" x14ac:dyDescent="0.25">
      <c r="B21" s="565"/>
      <c r="C21" s="1037" t="s">
        <v>668</v>
      </c>
      <c r="D21" s="1038"/>
      <c r="E21" s="1039"/>
      <c r="F21" s="637" t="s">
        <v>695</v>
      </c>
      <c r="G21" s="567"/>
      <c r="H21" s="569"/>
      <c r="I21" s="572"/>
      <c r="J21" s="98"/>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row>
    <row r="22" spans="2:107" x14ac:dyDescent="0.25">
      <c r="B22" s="565"/>
      <c r="C22" s="1040" t="s">
        <v>669</v>
      </c>
      <c r="D22" s="1041"/>
      <c r="E22" s="1042"/>
      <c r="F22" s="635" t="s">
        <v>702</v>
      </c>
      <c r="G22" s="565"/>
      <c r="H22" s="569"/>
      <c r="I22" s="573"/>
      <c r="J22" s="98"/>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row>
    <row r="23" spans="2:107" x14ac:dyDescent="0.25">
      <c r="B23" s="565"/>
      <c r="C23" s="1040" t="s">
        <v>979</v>
      </c>
      <c r="D23" s="1041"/>
      <c r="E23" s="1042"/>
      <c r="F23" s="635" t="s">
        <v>700</v>
      </c>
      <c r="G23" s="565"/>
      <c r="H23" s="565"/>
      <c r="I23" s="554"/>
      <c r="J23" s="98"/>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row>
    <row r="24" spans="2:107" ht="15.75" thickBot="1" x14ac:dyDescent="0.3">
      <c r="B24" s="565"/>
      <c r="C24" s="1044" t="s">
        <v>985</v>
      </c>
      <c r="D24" s="1045"/>
      <c r="E24" s="1046"/>
      <c r="F24" s="636" t="s">
        <v>700</v>
      </c>
      <c r="G24" s="565"/>
      <c r="H24" s="565"/>
      <c r="I24" s="554"/>
      <c r="J24" s="98"/>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row>
    <row r="25" spans="2:107" ht="18.75" customHeight="1" x14ac:dyDescent="1.4">
      <c r="B25" s="568"/>
      <c r="C25" s="1043" t="s">
        <v>1170</v>
      </c>
      <c r="D25" s="1043"/>
      <c r="E25" s="1043"/>
      <c r="F25" s="1043"/>
      <c r="G25" s="576" t="s">
        <v>1168</v>
      </c>
      <c r="H25" s="574"/>
      <c r="I25" s="554"/>
      <c r="J25" s="295"/>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row>
    <row r="26" spans="2:107" x14ac:dyDescent="0.25">
      <c r="B26" s="565"/>
      <c r="C26" s="1061" t="s">
        <v>992</v>
      </c>
      <c r="D26" s="1062"/>
      <c r="E26" s="569"/>
      <c r="F26" s="565"/>
      <c r="G26" s="577"/>
      <c r="H26" s="554"/>
      <c r="I26" s="554"/>
      <c r="J26" s="295"/>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row>
    <row r="27" spans="2:107" x14ac:dyDescent="0.25">
      <c r="B27" s="565"/>
      <c r="C27" s="565"/>
      <c r="D27" s="565"/>
      <c r="E27" s="569"/>
      <c r="F27" s="565"/>
      <c r="G27" s="565"/>
      <c r="H27" s="554"/>
      <c r="I27" s="554"/>
      <c r="J27" s="295"/>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row>
    <row r="28" spans="2:107" x14ac:dyDescent="0.25">
      <c r="B28" s="565"/>
      <c r="C28" s="1047"/>
      <c r="D28" s="1047"/>
      <c r="E28" s="1047"/>
      <c r="F28" s="1047"/>
      <c r="G28" s="565"/>
      <c r="H28" s="554"/>
      <c r="I28" s="554"/>
      <c r="J28" s="295"/>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row>
    <row r="29" spans="2:107" hidden="1" x14ac:dyDescent="0.25">
      <c r="B29" s="12"/>
      <c r="C29" s="295"/>
      <c r="D29" s="295"/>
      <c r="E29" s="98"/>
      <c r="F29" s="295"/>
      <c r="G29" s="12"/>
      <c r="H29"/>
      <c r="I29"/>
      <c r="J29" s="295"/>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row>
    <row r="30" spans="2:107" hidden="1" x14ac:dyDescent="0.25">
      <c r="B30" s="12"/>
      <c r="C30" s="295"/>
      <c r="D30" s="295"/>
      <c r="E30" s="98"/>
      <c r="F30" s="295"/>
      <c r="G30" s="12"/>
      <c r="H30"/>
      <c r="I30"/>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row>
    <row r="31" spans="2:107" hidden="1" x14ac:dyDescent="0.25">
      <c r="B31" s="12"/>
      <c r="C31" s="12"/>
      <c r="D31" s="12"/>
      <c r="E31" s="210"/>
      <c r="F31" s="12"/>
      <c r="G31" s="12"/>
      <c r="H31"/>
      <c r="I31"/>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row>
    <row r="32" spans="2:107" hidden="1" x14ac:dyDescent="0.25">
      <c r="B32" s="12"/>
      <c r="C32" s="12"/>
      <c r="D32" s="12"/>
      <c r="E32" s="210"/>
      <c r="F32" s="12"/>
      <c r="G32" s="12"/>
      <c r="H32"/>
      <c r="I3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row>
    <row r="33" spans="2:107" hidden="1" x14ac:dyDescent="0.25">
      <c r="B33" s="12"/>
      <c r="C33" s="12"/>
      <c r="D33" s="12"/>
      <c r="E33" s="210"/>
      <c r="F33" s="12"/>
      <c r="G33" s="12"/>
      <c r="H33"/>
      <c r="I33"/>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row>
    <row r="34" spans="2:107" hidden="1" x14ac:dyDescent="0.25">
      <c r="B34" s="12"/>
      <c r="C34" s="12"/>
      <c r="D34" s="12"/>
      <c r="E34" s="210"/>
      <c r="F34" s="12"/>
      <c r="G34" s="12"/>
      <c r="H34"/>
      <c r="I34"/>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row>
    <row r="35" spans="2:107" hidden="1" x14ac:dyDescent="0.25">
      <c r="B35" s="12"/>
      <c r="C35" s="12"/>
      <c r="D35" s="12"/>
      <c r="E35" s="210"/>
      <c r="F35" s="12"/>
      <c r="G35" s="12"/>
      <c r="H35"/>
      <c r="I35"/>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row>
    <row r="36" spans="2:107" hidden="1" x14ac:dyDescent="0.25">
      <c r="B36" s="12"/>
      <c r="C36" s="12"/>
      <c r="D36" s="12"/>
      <c r="E36" s="210"/>
      <c r="F36" s="12"/>
      <c r="G36" s="12"/>
      <c r="H36"/>
      <c r="I36"/>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row>
    <row r="37" spans="2:107" hidden="1" x14ac:dyDescent="0.25">
      <c r="B37" s="12"/>
      <c r="C37" s="12"/>
      <c r="D37" s="12"/>
      <c r="E37" s="210"/>
      <c r="F37" s="12"/>
      <c r="G37" s="12"/>
      <c r="H37"/>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row>
    <row r="38" spans="2:107" hidden="1" x14ac:dyDescent="0.25">
      <c r="B38" s="12"/>
      <c r="C38" s="12"/>
      <c r="D38" s="12"/>
      <c r="E38" s="210"/>
      <c r="F38" s="12"/>
      <c r="G38" s="12"/>
      <c r="H38"/>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row>
    <row r="39" spans="2:107" hidden="1" x14ac:dyDescent="0.25">
      <c r="B39" s="12"/>
      <c r="C39" s="12"/>
      <c r="D39" s="12"/>
      <c r="E39" s="210"/>
      <c r="F39" s="12"/>
      <c r="G39" s="12"/>
      <c r="H39"/>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row>
    <row r="40" spans="2:107" hidden="1" x14ac:dyDescent="0.25">
      <c r="B40" s="12"/>
      <c r="C40" s="12"/>
      <c r="D40" s="12"/>
      <c r="E40" s="210"/>
      <c r="F40" s="12"/>
      <c r="G40" s="12"/>
      <c r="H40"/>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row>
    <row r="41" spans="2:107" hidden="1" x14ac:dyDescent="0.25">
      <c r="B41" s="12"/>
      <c r="C41" s="12"/>
      <c r="D41" s="12"/>
      <c r="E41" s="210"/>
      <c r="F41" s="12"/>
      <c r="G41" s="12"/>
      <c r="H41"/>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row>
    <row r="42" spans="2:107" hidden="1" x14ac:dyDescent="0.25">
      <c r="B42" s="12"/>
      <c r="C42" s="12"/>
      <c r="D42" s="12"/>
      <c r="E42" s="210"/>
      <c r="F42" s="12"/>
      <c r="G42" s="12"/>
      <c r="H4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row>
    <row r="43" spans="2:107" hidden="1" x14ac:dyDescent="0.25">
      <c r="B43" s="12"/>
      <c r="C43" s="12"/>
      <c r="D43" s="12"/>
      <c r="E43" s="210"/>
      <c r="F43" s="12"/>
      <c r="G43" s="12"/>
      <c r="H43"/>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row>
    <row r="44" spans="2:107" hidden="1" x14ac:dyDescent="0.25">
      <c r="B44" s="12"/>
      <c r="C44" s="12"/>
      <c r="D44" s="12"/>
      <c r="E44" s="210"/>
      <c r="F44" s="12"/>
      <c r="G44" s="362"/>
      <c r="H44"/>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row>
    <row r="45" spans="2:107" hidden="1" x14ac:dyDescent="0.25">
      <c r="B45" s="12"/>
      <c r="C45" s="12"/>
      <c r="D45" s="12"/>
      <c r="E45" s="210"/>
      <c r="F45" s="12"/>
      <c r="G45" s="360"/>
      <c r="H45"/>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row>
    <row r="46" spans="2:107" hidden="1" x14ac:dyDescent="0.25">
      <c r="B46" s="12"/>
      <c r="C46" s="12"/>
      <c r="D46" s="12"/>
      <c r="E46" s="210"/>
      <c r="F46" s="12"/>
      <c r="G46" s="360"/>
      <c r="H46"/>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row>
    <row r="47" spans="2:107" hidden="1" x14ac:dyDescent="0.25">
      <c r="B47" s="360"/>
      <c r="C47" s="362"/>
      <c r="D47" s="360"/>
      <c r="E47" s="364"/>
      <c r="F47" s="360"/>
      <c r="G47" s="12"/>
      <c r="H47"/>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row>
    <row r="48" spans="2:107" hidden="1" x14ac:dyDescent="0.25">
      <c r="B48" s="362" t="s">
        <v>471</v>
      </c>
      <c r="C48" s="360"/>
      <c r="D48" s="360"/>
      <c r="E48" s="362"/>
      <c r="F48" s="360"/>
      <c r="G48" s="12"/>
      <c r="H48"/>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row>
    <row r="49" spans="2:107" hidden="1" x14ac:dyDescent="0.25">
      <c r="B49" s="360"/>
      <c r="C49" s="360"/>
      <c r="D49" s="360"/>
      <c r="E49" s="362"/>
      <c r="F49" s="360"/>
      <c r="G49" s="12"/>
      <c r="H49"/>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row>
    <row r="50" spans="2:107" hidden="1" x14ac:dyDescent="0.25">
      <c r="B50" s="12"/>
      <c r="C50" s="12"/>
      <c r="D50" s="12"/>
      <c r="E50" s="210"/>
      <c r="F50" s="12"/>
      <c r="G50" s="12"/>
      <c r="H50"/>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row>
    <row r="51" spans="2:107" hidden="1" x14ac:dyDescent="0.25">
      <c r="B51" s="12"/>
      <c r="C51" s="12"/>
      <c r="D51" s="12"/>
      <c r="E51" s="210"/>
      <c r="F51" s="12"/>
      <c r="G51" s="12"/>
      <c r="H51"/>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row>
    <row r="52" spans="2:107" hidden="1" x14ac:dyDescent="0.25">
      <c r="B52" s="12"/>
      <c r="C52" s="12"/>
      <c r="D52" s="12"/>
      <c r="E52" s="210"/>
      <c r="F52" s="12"/>
      <c r="G52" s="12"/>
      <c r="H5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row>
    <row r="53" spans="2:107" hidden="1" x14ac:dyDescent="0.25">
      <c r="B53" s="12"/>
      <c r="C53" s="12"/>
      <c r="D53" s="12"/>
      <c r="E53" s="210"/>
      <c r="F53" s="12"/>
      <c r="G53" s="12"/>
      <c r="H53"/>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row>
    <row r="54" spans="2:107" hidden="1" x14ac:dyDescent="0.25">
      <c r="B54" s="12"/>
      <c r="C54" s="12"/>
      <c r="D54" s="12"/>
      <c r="E54" s="210"/>
      <c r="F54" s="12"/>
      <c r="G54" s="12"/>
      <c r="H54" s="210"/>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row>
    <row r="55" spans="2:107" hidden="1" x14ac:dyDescent="0.25">
      <c r="B55" s="12"/>
      <c r="C55" s="12"/>
      <c r="D55" s="12"/>
      <c r="E55" s="210"/>
      <c r="F55" s="12"/>
      <c r="G55" s="12"/>
      <c r="H55" s="210"/>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row>
    <row r="56" spans="2:107" hidden="1" x14ac:dyDescent="0.25">
      <c r="B56" s="12"/>
      <c r="C56" s="12"/>
      <c r="D56" s="12"/>
      <c r="E56" s="210"/>
      <c r="F56" s="12"/>
      <c r="G56" s="12"/>
      <c r="H56" s="210"/>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row>
    <row r="57" spans="2:107" hidden="1" x14ac:dyDescent="0.25">
      <c r="B57" s="12"/>
      <c r="C57" s="12"/>
      <c r="D57" s="12"/>
      <c r="E57" s="210"/>
      <c r="F57" s="12"/>
      <c r="G57" s="12"/>
      <c r="H57" s="210"/>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row>
    <row r="58" spans="2:107" hidden="1" x14ac:dyDescent="0.25">
      <c r="B58" s="12"/>
      <c r="C58" s="12"/>
      <c r="D58" s="12"/>
      <c r="E58" s="210"/>
      <c r="F58" s="12"/>
      <c r="G58" s="12"/>
      <c r="H58" s="210"/>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row>
    <row r="59" spans="2:107" hidden="1" x14ac:dyDescent="0.25">
      <c r="B59" s="12"/>
      <c r="C59" s="12"/>
      <c r="D59" s="12"/>
      <c r="E59" s="210"/>
      <c r="F59" s="12"/>
      <c r="G59" s="12"/>
      <c r="H59" s="210"/>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row>
    <row r="60" spans="2:107" hidden="1" x14ac:dyDescent="0.25">
      <c r="B60" s="12"/>
      <c r="C60" s="12"/>
      <c r="D60" s="12"/>
      <c r="E60" s="210"/>
      <c r="F60" s="12"/>
      <c r="G60" s="12"/>
      <c r="H60" s="210"/>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row>
    <row r="61" spans="2:107" hidden="1" x14ac:dyDescent="0.25">
      <c r="B61" s="12"/>
      <c r="C61" s="12"/>
      <c r="D61" s="12"/>
      <c r="E61" s="210"/>
      <c r="F61" s="12"/>
      <c r="G61" s="12"/>
      <c r="H61" s="210"/>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row>
    <row r="62" spans="2:107" hidden="1" x14ac:dyDescent="0.25">
      <c r="B62" s="12"/>
      <c r="C62" s="12"/>
      <c r="D62" s="12"/>
      <c r="E62" s="210"/>
      <c r="F62" s="12"/>
      <c r="G62" s="12"/>
      <c r="H62" s="210"/>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row>
    <row r="63" spans="2:107" hidden="1" x14ac:dyDescent="0.25">
      <c r="B63" s="12"/>
      <c r="C63" s="12"/>
      <c r="D63" s="12"/>
      <c r="E63" s="210"/>
      <c r="F63" s="12"/>
      <c r="G63" s="12"/>
      <c r="H63" s="210"/>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row>
    <row r="64" spans="2:107" hidden="1" x14ac:dyDescent="0.25">
      <c r="B64" s="12"/>
      <c r="C64" s="12"/>
      <c r="D64" s="12"/>
      <c r="E64" s="210"/>
      <c r="F64" s="12"/>
      <c r="G64" s="12"/>
      <c r="H64" s="210"/>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row>
    <row r="65" spans="2:107" hidden="1" x14ac:dyDescent="0.25">
      <c r="B65" s="12"/>
      <c r="C65" s="12"/>
      <c r="D65" s="12"/>
      <c r="E65" s="210"/>
      <c r="F65" s="12"/>
      <c r="G65" s="12"/>
      <c r="H65" s="210"/>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row>
    <row r="66" spans="2:107" hidden="1" x14ac:dyDescent="0.25">
      <c r="B66" s="12"/>
      <c r="C66" s="12"/>
      <c r="D66" s="12"/>
      <c r="E66" s="210"/>
      <c r="F66" s="12"/>
      <c r="G66" s="12"/>
      <c r="H66" s="210"/>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row>
    <row r="67" spans="2:107" hidden="1" x14ac:dyDescent="0.25">
      <c r="B67" s="12"/>
      <c r="C67" s="12"/>
      <c r="D67" s="12"/>
      <c r="E67" s="210"/>
      <c r="F67" s="12"/>
      <c r="G67" s="12"/>
      <c r="H67" s="210"/>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row>
    <row r="68" spans="2:107" hidden="1" x14ac:dyDescent="0.25">
      <c r="B68" s="12"/>
      <c r="C68" s="12"/>
      <c r="D68" s="12"/>
      <c r="E68" s="210"/>
      <c r="F68" s="12"/>
      <c r="G68" s="12"/>
      <c r="H68" s="210"/>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row>
    <row r="69" spans="2:107" hidden="1" x14ac:dyDescent="0.25">
      <c r="B69" s="12"/>
      <c r="C69" s="12"/>
      <c r="D69" s="12"/>
      <c r="E69" s="210"/>
      <c r="F69" s="12"/>
      <c r="G69" s="12"/>
      <c r="H69" s="210"/>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row>
    <row r="70" spans="2:107" hidden="1" x14ac:dyDescent="0.25">
      <c r="B70" s="12"/>
      <c r="C70" s="12"/>
      <c r="D70" s="12"/>
      <c r="E70" s="210"/>
      <c r="F70" s="12"/>
      <c r="G70" s="12"/>
      <c r="H70" s="210"/>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row>
    <row r="71" spans="2:107" hidden="1" x14ac:dyDescent="0.25">
      <c r="B71" s="12"/>
      <c r="C71" s="12"/>
      <c r="D71" s="12"/>
      <c r="E71" s="210"/>
      <c r="F71" s="12"/>
      <c r="G71" s="12"/>
      <c r="H71" s="210"/>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row>
    <row r="72" spans="2:107" hidden="1" x14ac:dyDescent="0.25">
      <c r="B72" s="12"/>
      <c r="C72" s="12"/>
      <c r="D72" s="12"/>
      <c r="E72" s="210"/>
      <c r="F72" s="12"/>
      <c r="G72" s="12"/>
      <c r="H72" s="210"/>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row>
    <row r="73" spans="2:107" hidden="1" x14ac:dyDescent="0.25">
      <c r="B73" s="12"/>
      <c r="C73" s="12"/>
      <c r="D73" s="12"/>
      <c r="E73" s="210"/>
      <c r="F73" s="12"/>
      <c r="G73" s="12"/>
      <c r="H73" s="210"/>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row>
    <row r="74" spans="2:107" hidden="1" x14ac:dyDescent="0.25">
      <c r="B74" s="12"/>
      <c r="C74" s="12"/>
      <c r="D74" s="12"/>
      <c r="E74" s="210"/>
      <c r="F74" s="12"/>
      <c r="G74" s="12"/>
      <c r="H74" s="210"/>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row>
    <row r="75" spans="2:107" hidden="1" x14ac:dyDescent="0.25">
      <c r="B75" s="12"/>
      <c r="C75" s="12"/>
      <c r="D75" s="12"/>
      <c r="E75" s="210"/>
      <c r="F75" s="12"/>
      <c r="G75" s="12"/>
      <c r="H75" s="210"/>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row>
    <row r="76" spans="2:107" hidden="1" x14ac:dyDescent="0.25">
      <c r="B76" s="12"/>
      <c r="C76" s="12"/>
      <c r="D76" s="12"/>
      <c r="E76" s="210"/>
      <c r="F76" s="12"/>
      <c r="G76" s="12"/>
      <c r="H76" s="210"/>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row>
    <row r="77" spans="2:107" hidden="1" x14ac:dyDescent="0.25">
      <c r="B77" s="12"/>
      <c r="C77" s="12"/>
      <c r="D77" s="12"/>
      <c r="E77" s="210"/>
      <c r="F77" s="12"/>
      <c r="G77" s="12"/>
      <c r="H77" s="210"/>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row>
    <row r="78" spans="2:107" hidden="1" x14ac:dyDescent="0.25">
      <c r="B78" s="12"/>
      <c r="C78" s="12"/>
      <c r="D78" s="12"/>
      <c r="E78" s="210"/>
      <c r="F78" s="12"/>
      <c r="G78" s="12"/>
      <c r="H78" s="210"/>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row>
    <row r="79" spans="2:107" hidden="1" x14ac:dyDescent="0.25">
      <c r="B79" s="12"/>
      <c r="C79" s="12"/>
      <c r="D79" s="12"/>
      <c r="E79" s="210"/>
      <c r="F79" s="12"/>
      <c r="G79" s="12"/>
      <c r="H79" s="210"/>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row>
    <row r="80" spans="2:107" hidden="1" x14ac:dyDescent="0.25">
      <c r="B80" s="12"/>
      <c r="C80" s="12"/>
      <c r="D80" s="12"/>
      <c r="E80" s="210"/>
      <c r="F80" s="12"/>
      <c r="G80" s="12"/>
      <c r="H80" s="210"/>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row>
    <row r="81" spans="2:107" hidden="1" x14ac:dyDescent="0.25">
      <c r="B81" s="12"/>
      <c r="C81" s="12"/>
      <c r="D81" s="12"/>
      <c r="E81" s="210"/>
      <c r="F81" s="12"/>
      <c r="G81" s="12"/>
      <c r="H81" s="210"/>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row>
    <row r="82" spans="2:107" hidden="1" x14ac:dyDescent="0.25">
      <c r="B82" s="12"/>
      <c r="C82" s="12"/>
      <c r="D82" s="12"/>
      <c r="E82" s="210"/>
      <c r="F82" s="12"/>
      <c r="G82" s="12"/>
      <c r="H82" s="210"/>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row>
    <row r="83" spans="2:107" hidden="1" x14ac:dyDescent="0.25">
      <c r="B83" s="12"/>
      <c r="C83" s="12"/>
      <c r="D83" s="12"/>
      <c r="E83" s="210"/>
      <c r="F83" s="12"/>
      <c r="G83" s="12"/>
      <c r="H83" s="210"/>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row>
    <row r="84" spans="2:107" hidden="1" x14ac:dyDescent="0.25">
      <c r="B84" s="12"/>
      <c r="C84" s="12"/>
      <c r="D84" s="12"/>
      <c r="E84" s="210"/>
      <c r="F84" s="12"/>
      <c r="G84" s="12"/>
      <c r="H84" s="210"/>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row>
    <row r="85" spans="2:107" hidden="1" x14ac:dyDescent="0.25">
      <c r="B85" s="12"/>
      <c r="C85" s="12"/>
      <c r="D85" s="12"/>
      <c r="E85" s="210"/>
      <c r="F85" s="12"/>
      <c r="G85" s="12"/>
      <c r="H85" s="210"/>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row>
    <row r="86" spans="2:107" hidden="1" x14ac:dyDescent="0.25">
      <c r="B86" s="12"/>
      <c r="C86" s="12"/>
      <c r="D86" s="12"/>
      <c r="E86" s="210"/>
      <c r="F86" s="12"/>
      <c r="G86" s="12"/>
      <c r="H86" s="210"/>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row>
    <row r="87" spans="2:107" hidden="1" x14ac:dyDescent="0.25">
      <c r="B87" s="12"/>
      <c r="C87" s="12"/>
      <c r="D87" s="12"/>
      <c r="E87" s="210"/>
      <c r="F87" s="12"/>
      <c r="G87" s="12"/>
      <c r="H87" s="210"/>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row>
    <row r="88" spans="2:107" hidden="1" x14ac:dyDescent="0.25">
      <c r="B88" s="12"/>
      <c r="C88" s="12"/>
      <c r="D88" s="12"/>
      <c r="E88" s="210"/>
      <c r="F88" s="12"/>
      <c r="G88" s="12"/>
      <c r="H88" s="210"/>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row>
    <row r="89" spans="2:107" hidden="1" x14ac:dyDescent="0.25">
      <c r="B89" s="12"/>
      <c r="C89" s="12"/>
      <c r="D89" s="12"/>
      <c r="E89" s="210"/>
      <c r="F89" s="12"/>
      <c r="G89" s="12"/>
      <c r="H89" s="210"/>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row>
    <row r="90" spans="2:107" hidden="1" x14ac:dyDescent="0.25">
      <c r="B90" s="12"/>
      <c r="C90" s="12"/>
      <c r="D90" s="12"/>
      <c r="E90" s="210"/>
      <c r="F90" s="12"/>
      <c r="G90" s="12"/>
      <c r="H90" s="210"/>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row>
    <row r="91" spans="2:107" hidden="1" x14ac:dyDescent="0.25">
      <c r="B91" s="12"/>
      <c r="C91" s="12"/>
      <c r="D91" s="12"/>
      <c r="E91" s="210"/>
      <c r="F91" s="12"/>
      <c r="G91" s="12"/>
      <c r="H91" s="210"/>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row>
    <row r="92" spans="2:107" hidden="1" x14ac:dyDescent="0.25">
      <c r="B92" s="12"/>
      <c r="C92" s="12"/>
      <c r="D92" s="12"/>
      <c r="E92" s="210"/>
      <c r="F92" s="12"/>
      <c r="G92" s="12"/>
      <c r="H92" s="210"/>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row>
    <row r="93" spans="2:107" hidden="1" x14ac:dyDescent="0.25">
      <c r="B93" s="12"/>
      <c r="C93" s="12"/>
      <c r="D93" s="12"/>
      <c r="E93" s="210"/>
      <c r="F93" s="12"/>
      <c r="G93" s="12"/>
      <c r="H93" s="210"/>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row>
    <row r="94" spans="2:107" hidden="1" x14ac:dyDescent="0.25">
      <c r="B94" s="12"/>
      <c r="C94" s="12"/>
      <c r="D94" s="12"/>
      <c r="E94" s="210"/>
      <c r="F94" s="12"/>
      <c r="G94" s="12"/>
      <c r="H94" s="210"/>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row>
    <row r="95" spans="2:107" hidden="1" x14ac:dyDescent="0.25">
      <c r="B95" s="12"/>
      <c r="C95" s="12"/>
      <c r="D95" s="12"/>
      <c r="E95" s="210"/>
      <c r="F95" s="12"/>
      <c r="G95" s="12"/>
      <c r="H95" s="210"/>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row>
    <row r="96" spans="2:107" hidden="1" x14ac:dyDescent="0.25">
      <c r="B96" s="12"/>
      <c r="C96" s="12"/>
      <c r="D96" s="12"/>
      <c r="E96" s="210"/>
      <c r="F96" s="12"/>
      <c r="G96" s="12"/>
      <c r="H96" s="210"/>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row>
    <row r="97" spans="2:107" hidden="1" x14ac:dyDescent="0.25">
      <c r="B97" s="12"/>
      <c r="C97" s="12"/>
      <c r="D97" s="12"/>
      <c r="E97" s="210"/>
      <c r="F97" s="12"/>
      <c r="G97" s="12"/>
      <c r="H97" s="210"/>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row>
    <row r="98" spans="2:107" hidden="1" x14ac:dyDescent="0.25">
      <c r="B98" s="12"/>
      <c r="C98" s="12"/>
      <c r="D98" s="12"/>
      <c r="E98" s="210"/>
      <c r="F98" s="12"/>
      <c r="G98" s="12"/>
      <c r="H98" s="210"/>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row>
    <row r="99" spans="2:107" hidden="1" x14ac:dyDescent="0.25">
      <c r="B99" s="12"/>
      <c r="C99" s="12"/>
      <c r="D99" s="12"/>
      <c r="E99" s="210"/>
      <c r="F99" s="12"/>
      <c r="G99" s="12"/>
      <c r="H99" s="210"/>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row>
    <row r="100" spans="2:107" hidden="1" x14ac:dyDescent="0.25">
      <c r="B100" s="12"/>
      <c r="C100" s="12"/>
      <c r="D100" s="12"/>
      <c r="E100" s="210"/>
      <c r="F100" s="12"/>
      <c r="G100" s="12"/>
      <c r="H100" s="210"/>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row>
    <row r="101" spans="2:107" hidden="1" x14ac:dyDescent="0.25">
      <c r="B101" s="12"/>
      <c r="C101" s="12"/>
      <c r="D101" s="12"/>
      <c r="E101" s="210"/>
      <c r="F101" s="12"/>
      <c r="G101" s="12"/>
      <c r="H101" s="210"/>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row>
    <row r="102" spans="2:107" hidden="1" x14ac:dyDescent="0.25">
      <c r="B102" s="12"/>
      <c r="C102" s="12"/>
      <c r="D102" s="12"/>
      <c r="E102" s="210"/>
      <c r="F102" s="12"/>
      <c r="G102" s="12"/>
      <c r="H102" s="210"/>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row>
    <row r="103" spans="2:107" hidden="1" x14ac:dyDescent="0.25">
      <c r="B103" s="12"/>
      <c r="C103" s="12"/>
      <c r="D103" s="12"/>
      <c r="E103" s="210"/>
      <c r="F103" s="12"/>
      <c r="G103" s="12"/>
      <c r="H103" s="210"/>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row>
    <row r="104" spans="2:107" hidden="1" x14ac:dyDescent="0.25">
      <c r="B104" s="12"/>
      <c r="C104" s="12"/>
      <c r="D104" s="12"/>
      <c r="E104" s="210"/>
      <c r="F104" s="12"/>
      <c r="G104" s="12"/>
      <c r="H104" s="210"/>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row>
    <row r="105" spans="2:107" hidden="1" x14ac:dyDescent="0.25">
      <c r="B105" s="12"/>
      <c r="C105" s="12"/>
      <c r="D105" s="12"/>
      <c r="E105" s="210"/>
      <c r="F105" s="12"/>
      <c r="G105" s="12"/>
      <c r="H105" s="210"/>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row>
    <row r="106" spans="2:107" hidden="1" x14ac:dyDescent="0.25">
      <c r="B106" s="12"/>
      <c r="C106" s="12"/>
      <c r="D106" s="12"/>
      <c r="E106" s="210"/>
      <c r="F106" s="12"/>
      <c r="G106" s="12"/>
      <c r="H106" s="210"/>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row>
    <row r="107" spans="2:107" hidden="1" x14ac:dyDescent="0.25">
      <c r="B107" s="12"/>
      <c r="C107" s="12"/>
      <c r="D107" s="12"/>
      <c r="E107" s="210"/>
      <c r="F107" s="12"/>
      <c r="G107" s="12"/>
      <c r="H107" s="210"/>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row>
    <row r="108" spans="2:107" hidden="1" x14ac:dyDescent="0.25">
      <c r="B108" s="12"/>
      <c r="C108" s="12"/>
      <c r="D108" s="12"/>
      <c r="E108" s="210"/>
      <c r="F108" s="12"/>
      <c r="G108" s="12"/>
      <c r="H108" s="210"/>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row>
    <row r="109" spans="2:107" hidden="1" x14ac:dyDescent="0.25">
      <c r="B109" s="12"/>
      <c r="C109" s="12"/>
      <c r="D109" s="12"/>
      <c r="E109" s="210"/>
      <c r="F109" s="12"/>
      <c r="G109" s="12"/>
      <c r="H109" s="210"/>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row>
    <row r="110" spans="2:107" hidden="1" x14ac:dyDescent="0.25">
      <c r="B110" s="12"/>
      <c r="C110" s="12"/>
      <c r="D110" s="12"/>
      <c r="E110" s="210"/>
      <c r="F110" s="12"/>
      <c r="G110" s="12"/>
      <c r="H110" s="210"/>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row>
    <row r="111" spans="2:107" hidden="1" x14ac:dyDescent="0.25">
      <c r="B111" s="12"/>
      <c r="C111" s="12"/>
      <c r="D111" s="12"/>
      <c r="E111" s="210"/>
      <c r="F111" s="12"/>
      <c r="G111" s="12"/>
      <c r="H111" s="210"/>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row>
    <row r="112" spans="2:107" hidden="1" x14ac:dyDescent="0.25">
      <c r="B112" s="12"/>
      <c r="C112" s="12"/>
      <c r="D112" s="12"/>
      <c r="E112" s="210"/>
      <c r="F112" s="12"/>
      <c r="G112" s="12"/>
      <c r="H112" s="210"/>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row>
    <row r="113" spans="2:107" hidden="1" x14ac:dyDescent="0.25">
      <c r="B113" s="12"/>
      <c r="C113" s="12"/>
      <c r="D113" s="12"/>
      <c r="E113" s="210"/>
      <c r="F113" s="12"/>
      <c r="G113" s="12"/>
      <c r="H113" s="210"/>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row>
    <row r="114" spans="2:107" hidden="1" x14ac:dyDescent="0.25">
      <c r="B114" s="12"/>
      <c r="C114" s="12"/>
      <c r="D114" s="12"/>
      <c r="E114" s="210"/>
      <c r="F114" s="12"/>
      <c r="G114" s="12"/>
      <c r="H114" s="210"/>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row>
    <row r="115" spans="2:107" hidden="1" x14ac:dyDescent="0.25">
      <c r="B115" s="12"/>
      <c r="C115" s="12"/>
      <c r="D115" s="12"/>
      <c r="E115" s="210"/>
      <c r="F115" s="12"/>
      <c r="G115" s="12"/>
      <c r="H115" s="210"/>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row>
    <row r="116" spans="2:107" hidden="1" x14ac:dyDescent="0.25">
      <c r="B116" s="12"/>
      <c r="C116" s="12"/>
      <c r="D116" s="12"/>
      <c r="E116" s="210"/>
      <c r="F116" s="12"/>
      <c r="G116" s="12"/>
      <c r="H116" s="210"/>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row>
    <row r="117" spans="2:107" hidden="1" x14ac:dyDescent="0.25">
      <c r="B117" s="12"/>
      <c r="C117" s="12"/>
      <c r="D117" s="12"/>
      <c r="E117" s="210"/>
      <c r="F117" s="12"/>
      <c r="G117" s="12"/>
      <c r="H117" s="210"/>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row>
    <row r="118" spans="2:107" hidden="1" x14ac:dyDescent="0.25">
      <c r="B118" s="12"/>
      <c r="C118" s="12"/>
      <c r="D118" s="12"/>
      <c r="E118" s="210"/>
      <c r="F118" s="12"/>
      <c r="G118" s="12"/>
      <c r="H118" s="210"/>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row>
    <row r="119" spans="2:107" hidden="1" x14ac:dyDescent="0.25">
      <c r="B119" s="12"/>
      <c r="C119" s="12"/>
      <c r="D119" s="12"/>
      <c r="E119" s="210"/>
      <c r="F119" s="12"/>
      <c r="G119" s="12"/>
      <c r="H119" s="210"/>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row>
    <row r="120" spans="2:107" hidden="1" x14ac:dyDescent="0.25">
      <c r="B120" s="12"/>
      <c r="C120" s="12"/>
      <c r="D120" s="12"/>
      <c r="E120" s="210"/>
      <c r="F120" s="12"/>
      <c r="G120" s="12"/>
      <c r="H120" s="210"/>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row>
    <row r="121" spans="2:107" hidden="1" x14ac:dyDescent="0.25">
      <c r="B121" s="12"/>
      <c r="C121" s="12"/>
      <c r="D121" s="12"/>
      <c r="E121" s="210"/>
      <c r="F121" s="12"/>
      <c r="G121" s="12"/>
      <c r="H121" s="210"/>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row>
    <row r="122" spans="2:107" hidden="1" x14ac:dyDescent="0.25">
      <c r="B122" s="12"/>
      <c r="C122" s="12"/>
      <c r="D122" s="12"/>
      <c r="E122" s="210"/>
      <c r="F122" s="12"/>
      <c r="G122" s="12"/>
      <c r="H122" s="210"/>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row>
    <row r="123" spans="2:107" hidden="1" x14ac:dyDescent="0.25">
      <c r="B123" s="12"/>
      <c r="C123" s="12"/>
      <c r="D123" s="12"/>
      <c r="E123" s="210"/>
      <c r="F123" s="12"/>
      <c r="G123" s="12"/>
      <c r="H123" s="210"/>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row>
    <row r="124" spans="2:107" hidden="1" x14ac:dyDescent="0.25">
      <c r="B124" s="12"/>
      <c r="C124" s="12"/>
      <c r="D124" s="12"/>
      <c r="E124" s="210"/>
      <c r="F124" s="12"/>
      <c r="G124" s="12"/>
      <c r="H124" s="210"/>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row>
    <row r="125" spans="2:107" hidden="1" x14ac:dyDescent="0.25">
      <c r="B125" s="12"/>
      <c r="C125" s="12"/>
      <c r="D125" s="12"/>
      <c r="E125" s="210"/>
      <c r="F125" s="12"/>
      <c r="G125" s="12"/>
      <c r="H125" s="210"/>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row>
    <row r="126" spans="2:107" hidden="1" x14ac:dyDescent="0.25">
      <c r="B126" s="12"/>
      <c r="C126" s="12"/>
      <c r="D126" s="12"/>
      <c r="E126" s="210"/>
      <c r="F126" s="12"/>
      <c r="G126" s="12"/>
      <c r="H126" s="210"/>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row>
    <row r="127" spans="2:107" hidden="1" x14ac:dyDescent="0.25">
      <c r="B127" s="12"/>
      <c r="C127" s="12"/>
      <c r="D127" s="12"/>
      <c r="E127" s="210"/>
      <c r="F127" s="12"/>
      <c r="G127" s="12"/>
      <c r="H127" s="210"/>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row>
    <row r="128" spans="2:107" hidden="1" x14ac:dyDescent="0.25">
      <c r="B128" s="12"/>
      <c r="C128" s="12"/>
      <c r="D128" s="12"/>
      <c r="E128" s="210"/>
      <c r="F128" s="12"/>
      <c r="G128" s="12"/>
      <c r="H128" s="210"/>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row>
    <row r="129" spans="2:107" hidden="1" x14ac:dyDescent="0.25">
      <c r="B129" s="12"/>
      <c r="C129" s="12"/>
      <c r="D129" s="12"/>
      <c r="E129" s="210"/>
      <c r="F129" s="12"/>
      <c r="G129" s="12"/>
      <c r="H129" s="210"/>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row>
    <row r="130" spans="2:107" hidden="1" x14ac:dyDescent="0.25">
      <c r="B130" s="12"/>
      <c r="C130" s="12"/>
      <c r="D130" s="12"/>
      <c r="E130" s="210"/>
      <c r="F130" s="12"/>
      <c r="G130" s="12"/>
      <c r="H130" s="210"/>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row>
    <row r="131" spans="2:107" hidden="1" x14ac:dyDescent="0.25">
      <c r="B131" s="12"/>
      <c r="C131" s="12"/>
      <c r="D131" s="12"/>
      <c r="E131" s="210"/>
      <c r="F131" s="12"/>
      <c r="G131" s="12"/>
      <c r="H131" s="210"/>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row>
    <row r="132" spans="2:107" hidden="1" x14ac:dyDescent="0.25">
      <c r="B132" s="12"/>
      <c r="C132" s="12"/>
      <c r="D132" s="12"/>
      <c r="E132" s="210"/>
      <c r="F132" s="12"/>
      <c r="G132" s="12"/>
      <c r="H132" s="210"/>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row>
    <row r="133" spans="2:107" hidden="1" x14ac:dyDescent="0.25">
      <c r="B133" s="12"/>
      <c r="C133" s="12"/>
      <c r="D133" s="12"/>
      <c r="E133" s="210"/>
      <c r="F133" s="12"/>
      <c r="G133" s="12"/>
      <c r="H133" s="210"/>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row>
    <row r="134" spans="2:107" hidden="1" x14ac:dyDescent="0.25">
      <c r="B134" s="12"/>
      <c r="C134" s="12"/>
      <c r="D134" s="12"/>
      <c r="E134" s="210"/>
      <c r="F134" s="12"/>
      <c r="G134" s="12"/>
      <c r="H134" s="210"/>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row>
    <row r="135" spans="2:107" hidden="1" x14ac:dyDescent="0.25">
      <c r="B135" s="12"/>
      <c r="C135" s="12"/>
      <c r="D135" s="12"/>
      <c r="E135" s="210"/>
      <c r="F135" s="12"/>
      <c r="G135" s="12"/>
      <c r="H135" s="210"/>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row>
    <row r="136" spans="2:107" hidden="1" x14ac:dyDescent="0.25">
      <c r="B136" s="12"/>
      <c r="C136" s="12"/>
      <c r="D136" s="12"/>
      <c r="E136" s="210"/>
      <c r="F136" s="12"/>
      <c r="G136" s="12"/>
      <c r="H136" s="210"/>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row>
    <row r="137" spans="2:107" hidden="1" x14ac:dyDescent="0.25">
      <c r="B137" s="12"/>
      <c r="C137" s="12"/>
      <c r="D137" s="12"/>
      <c r="E137" s="210"/>
      <c r="F137" s="12"/>
      <c r="G137" s="12"/>
      <c r="H137" s="210"/>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row>
    <row r="138" spans="2:107" hidden="1" x14ac:dyDescent="0.25">
      <c r="B138" s="12"/>
      <c r="C138" s="12"/>
      <c r="D138" s="12"/>
      <c r="E138" s="210"/>
      <c r="F138" s="12"/>
      <c r="G138" s="12"/>
      <c r="H138" s="210"/>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row>
    <row r="139" spans="2:107" hidden="1" x14ac:dyDescent="0.25">
      <c r="B139" s="12"/>
      <c r="C139" s="12"/>
      <c r="D139" s="12"/>
      <c r="E139" s="210"/>
      <c r="F139" s="12"/>
      <c r="G139" s="12"/>
      <c r="H139" s="210"/>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row>
    <row r="140" spans="2:107" hidden="1" x14ac:dyDescent="0.25">
      <c r="B140" s="12"/>
      <c r="C140" s="12"/>
      <c r="D140" s="12"/>
      <c r="E140" s="210"/>
      <c r="F140" s="12"/>
      <c r="G140" s="12"/>
      <c r="H140" s="210"/>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row>
    <row r="141" spans="2:107" hidden="1" x14ac:dyDescent="0.25">
      <c r="B141" s="12"/>
      <c r="C141" s="12"/>
      <c r="D141" s="12"/>
      <c r="E141" s="210"/>
      <c r="F141" s="12"/>
      <c r="G141" s="12"/>
      <c r="H141" s="210"/>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row>
    <row r="142" spans="2:107" hidden="1" x14ac:dyDescent="0.25">
      <c r="B142" s="12"/>
      <c r="C142" s="12"/>
      <c r="D142" s="12"/>
      <c r="E142" s="210"/>
      <c r="F142" s="12"/>
      <c r="G142" s="12"/>
      <c r="H142" s="210"/>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row>
    <row r="143" spans="2:107" hidden="1" x14ac:dyDescent="0.25">
      <c r="B143" s="12"/>
      <c r="C143" s="12"/>
      <c r="D143" s="12"/>
      <c r="E143" s="210"/>
      <c r="F143" s="12"/>
      <c r="G143" s="12"/>
      <c r="H143" s="210"/>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row>
    <row r="144" spans="2:107" hidden="1" x14ac:dyDescent="0.25">
      <c r="B144" s="12"/>
      <c r="C144" s="12"/>
      <c r="D144" s="12"/>
      <c r="E144" s="210"/>
      <c r="F144" s="12"/>
      <c r="G144" s="12"/>
      <c r="H144" s="210"/>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row>
    <row r="145" spans="2:107" hidden="1" x14ac:dyDescent="0.25">
      <c r="B145" s="12"/>
      <c r="C145" s="12"/>
      <c r="D145" s="12"/>
      <c r="E145" s="210"/>
      <c r="F145" s="12"/>
      <c r="G145" s="12"/>
      <c r="H145" s="210"/>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row>
    <row r="146" spans="2:107" hidden="1" x14ac:dyDescent="0.25">
      <c r="B146" s="12"/>
      <c r="C146" s="12"/>
      <c r="D146" s="12"/>
      <c r="E146" s="210"/>
      <c r="F146" s="12"/>
      <c r="G146" s="12"/>
      <c r="H146" s="210"/>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row>
    <row r="147" spans="2:107" hidden="1" x14ac:dyDescent="0.25">
      <c r="B147" s="12"/>
      <c r="C147" s="12"/>
      <c r="D147" s="12"/>
      <c r="E147" s="210"/>
      <c r="F147" s="12"/>
      <c r="G147" s="12"/>
      <c r="H147" s="210"/>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row>
    <row r="148" spans="2:107" hidden="1" x14ac:dyDescent="0.25">
      <c r="B148" s="12"/>
      <c r="C148" s="12"/>
      <c r="D148" s="12"/>
      <c r="E148" s="210"/>
      <c r="F148" s="12"/>
      <c r="G148" s="12"/>
      <c r="H148" s="210"/>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row>
    <row r="149" spans="2:107" hidden="1" x14ac:dyDescent="0.25">
      <c r="B149" s="12"/>
      <c r="C149" s="12"/>
      <c r="D149" s="12"/>
      <c r="E149" s="210"/>
      <c r="F149" s="12"/>
      <c r="G149" s="12"/>
      <c r="H149" s="210"/>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row>
    <row r="150" spans="2:107" hidden="1" x14ac:dyDescent="0.25">
      <c r="B150" s="12"/>
      <c r="C150" s="12"/>
      <c r="D150" s="12"/>
      <c r="E150" s="210"/>
      <c r="F150" s="12"/>
      <c r="G150" s="12"/>
      <c r="H150" s="210"/>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row>
    <row r="151" spans="2:107" hidden="1" x14ac:dyDescent="0.25">
      <c r="B151" s="12"/>
      <c r="C151" s="12"/>
      <c r="D151" s="12"/>
      <c r="E151" s="210"/>
      <c r="F151" s="12"/>
      <c r="G151" s="12"/>
      <c r="H151" s="210"/>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row>
    <row r="152" spans="2:107" hidden="1" x14ac:dyDescent="0.25">
      <c r="B152" s="12"/>
      <c r="C152" s="12"/>
      <c r="D152" s="12"/>
      <c r="E152" s="210"/>
      <c r="F152" s="12"/>
      <c r="G152" s="12"/>
      <c r="H152" s="210"/>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row>
    <row r="153" spans="2:107" hidden="1" x14ac:dyDescent="0.25">
      <c r="B153" s="12"/>
      <c r="C153" s="12"/>
      <c r="D153" s="12"/>
      <c r="E153" s="210"/>
      <c r="F153" s="12"/>
      <c r="G153" s="12"/>
      <c r="H153" s="210"/>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row>
    <row r="154" spans="2:107" hidden="1" x14ac:dyDescent="0.25">
      <c r="B154" s="12"/>
      <c r="C154" s="12"/>
      <c r="D154" s="12"/>
      <c r="E154" s="210"/>
      <c r="F154" s="12"/>
      <c r="G154" s="12"/>
      <c r="H154" s="210"/>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row>
    <row r="155" spans="2:107" hidden="1" x14ac:dyDescent="0.25">
      <c r="B155" s="12"/>
      <c r="C155" s="12"/>
      <c r="D155" s="12"/>
      <c r="E155" s="210"/>
      <c r="F155" s="12"/>
      <c r="G155" s="12"/>
      <c r="H155" s="210"/>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row>
    <row r="156" spans="2:107" hidden="1" x14ac:dyDescent="0.25">
      <c r="B156" s="12"/>
      <c r="C156" s="12"/>
      <c r="D156" s="12"/>
      <c r="E156" s="210"/>
      <c r="F156" s="12"/>
      <c r="G156" s="12"/>
      <c r="H156" s="210"/>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row>
    <row r="157" spans="2:107" hidden="1" x14ac:dyDescent="0.25">
      <c r="B157" s="12"/>
      <c r="C157" s="12"/>
      <c r="D157" s="12"/>
      <c r="E157" s="210"/>
      <c r="F157" s="12"/>
      <c r="G157" s="12"/>
      <c r="H157" s="210"/>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row>
    <row r="158" spans="2:107" hidden="1" x14ac:dyDescent="0.25">
      <c r="B158" s="12"/>
      <c r="C158" s="12"/>
      <c r="D158" s="12"/>
      <c r="E158" s="210"/>
      <c r="F158" s="12"/>
      <c r="G158" s="12"/>
      <c r="H158" s="210"/>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row>
    <row r="159" spans="2:107" hidden="1" x14ac:dyDescent="0.25">
      <c r="B159" s="12"/>
      <c r="C159" s="12"/>
      <c r="D159" s="12"/>
      <c r="E159" s="210"/>
      <c r="F159" s="12"/>
      <c r="G159" s="12"/>
      <c r="H159" s="210"/>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row>
    <row r="160" spans="2:107" hidden="1" x14ac:dyDescent="0.25">
      <c r="B160" s="12"/>
      <c r="C160" s="12"/>
      <c r="D160" s="12"/>
      <c r="E160" s="210"/>
      <c r="F160" s="12"/>
      <c r="G160" s="12"/>
      <c r="H160" s="210"/>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row>
    <row r="161" spans="2:107" hidden="1" x14ac:dyDescent="0.25">
      <c r="B161" s="12"/>
      <c r="C161" s="12"/>
      <c r="D161" s="12"/>
      <c r="E161" s="210"/>
      <c r="F161" s="12"/>
      <c r="G161" s="12"/>
      <c r="H161" s="210"/>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row>
    <row r="162" spans="2:107" hidden="1" x14ac:dyDescent="0.25">
      <c r="B162" s="12"/>
      <c r="C162" s="12"/>
      <c r="D162" s="12"/>
      <c r="E162" s="210"/>
      <c r="F162" s="12"/>
      <c r="G162" s="12"/>
      <c r="H162" s="210"/>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row>
    <row r="163" spans="2:107" hidden="1" x14ac:dyDescent="0.25">
      <c r="B163" s="12"/>
      <c r="C163" s="12"/>
      <c r="D163" s="12"/>
      <c r="E163" s="210"/>
      <c r="F163" s="12"/>
      <c r="G163" s="12"/>
      <c r="H163" s="210"/>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row>
    <row r="164" spans="2:107" hidden="1" x14ac:dyDescent="0.25">
      <c r="B164" s="12"/>
      <c r="C164" s="12"/>
      <c r="D164" s="12"/>
      <c r="E164" s="210"/>
      <c r="F164" s="12"/>
      <c r="G164" s="12"/>
      <c r="H164" s="210"/>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row>
    <row r="165" spans="2:107" hidden="1" x14ac:dyDescent="0.25">
      <c r="B165" s="12"/>
      <c r="C165" s="12"/>
      <c r="D165" s="12"/>
      <c r="E165" s="210"/>
      <c r="F165" s="12"/>
      <c r="G165" s="12"/>
      <c r="H165" s="210"/>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row>
    <row r="166" spans="2:107" hidden="1" x14ac:dyDescent="0.25">
      <c r="B166" s="12"/>
      <c r="C166" s="12"/>
      <c r="D166" s="12"/>
      <c r="E166" s="210"/>
      <c r="F166" s="12"/>
      <c r="G166" s="12"/>
      <c r="H166" s="210"/>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row>
    <row r="167" spans="2:107" hidden="1" x14ac:dyDescent="0.25">
      <c r="B167" s="12"/>
      <c r="C167" s="12"/>
      <c r="D167" s="12"/>
      <c r="E167" s="210"/>
      <c r="F167" s="12"/>
      <c r="G167" s="12"/>
      <c r="H167" s="210"/>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row>
    <row r="168" spans="2:107" hidden="1" x14ac:dyDescent="0.25">
      <c r="B168" s="12"/>
      <c r="C168" s="12"/>
      <c r="D168" s="12"/>
      <c r="E168" s="210"/>
      <c r="F168" s="12"/>
      <c r="G168" s="12"/>
      <c r="H168" s="210"/>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row>
    <row r="169" spans="2:107" hidden="1" x14ac:dyDescent="0.25">
      <c r="B169" s="12"/>
      <c r="C169" s="12"/>
      <c r="D169" s="12"/>
      <c r="E169" s="210"/>
      <c r="F169" s="12"/>
      <c r="G169" s="12"/>
      <c r="H169" s="210"/>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row>
    <row r="170" spans="2:107" hidden="1" x14ac:dyDescent="0.25">
      <c r="B170" s="12"/>
      <c r="C170" s="12"/>
      <c r="D170" s="12"/>
      <c r="E170" s="210"/>
      <c r="F170" s="12"/>
      <c r="G170" s="12"/>
      <c r="H170" s="210"/>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row>
    <row r="171" spans="2:107" hidden="1" x14ac:dyDescent="0.25">
      <c r="B171" s="12"/>
      <c r="C171" s="12"/>
      <c r="D171" s="12"/>
      <c r="E171" s="210"/>
      <c r="F171" s="12"/>
      <c r="G171" s="12"/>
      <c r="H171" s="210"/>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row>
    <row r="172" spans="2:107" hidden="1" x14ac:dyDescent="0.25">
      <c r="B172" s="12"/>
      <c r="C172" s="12"/>
      <c r="D172" s="12"/>
      <c r="E172" s="210"/>
      <c r="F172" s="12"/>
      <c r="G172" s="12"/>
      <c r="H172" s="210"/>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row>
    <row r="173" spans="2:107" hidden="1" x14ac:dyDescent="0.25">
      <c r="B173" s="12"/>
      <c r="C173" s="12"/>
      <c r="D173" s="12"/>
      <c r="E173" s="210"/>
      <c r="F173" s="12"/>
      <c r="G173" s="12"/>
      <c r="H173" s="210"/>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row>
    <row r="174" spans="2:107" hidden="1" x14ac:dyDescent="0.25">
      <c r="B174" s="12"/>
      <c r="C174" s="12"/>
      <c r="D174" s="12"/>
      <c r="E174" s="210"/>
      <c r="F174" s="12"/>
      <c r="G174" s="12"/>
      <c r="H174" s="210"/>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row>
    <row r="175" spans="2:107" hidden="1" x14ac:dyDescent="0.25">
      <c r="B175" s="12"/>
      <c r="C175" s="12"/>
      <c r="D175" s="12"/>
      <c r="E175" s="210"/>
      <c r="F175" s="12"/>
      <c r="G175" s="12"/>
      <c r="H175" s="210"/>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row>
    <row r="176" spans="2:107" hidden="1" x14ac:dyDescent="0.25">
      <c r="B176" s="12"/>
      <c r="C176" s="12"/>
      <c r="D176" s="12"/>
      <c r="E176" s="210"/>
      <c r="F176" s="12"/>
      <c r="G176" s="12"/>
      <c r="H176" s="210"/>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row>
    <row r="177" spans="2:107" hidden="1" x14ac:dyDescent="0.25">
      <c r="B177" s="12"/>
      <c r="C177" s="12"/>
      <c r="D177" s="12"/>
      <c r="E177" s="210"/>
      <c r="F177" s="12"/>
      <c r="G177" s="12"/>
      <c r="H177" s="210"/>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row>
    <row r="178" spans="2:107" hidden="1" x14ac:dyDescent="0.25">
      <c r="B178" s="12"/>
      <c r="C178" s="12"/>
      <c r="D178" s="12"/>
      <c r="E178" s="210"/>
      <c r="F178" s="12"/>
      <c r="G178" s="12"/>
      <c r="H178" s="210"/>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row>
    <row r="179" spans="2:107" hidden="1" x14ac:dyDescent="0.25">
      <c r="B179" s="12"/>
      <c r="C179" s="12"/>
      <c r="D179" s="12"/>
      <c r="E179" s="210"/>
      <c r="F179" s="12"/>
      <c r="G179" s="12"/>
      <c r="H179" s="210"/>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row>
    <row r="180" spans="2:107" hidden="1" x14ac:dyDescent="0.25">
      <c r="B180" s="12"/>
      <c r="C180" s="12"/>
      <c r="D180" s="12"/>
      <c r="E180" s="210"/>
      <c r="F180" s="12"/>
      <c r="G180" s="12"/>
      <c r="H180" s="210"/>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row>
    <row r="181" spans="2:107" hidden="1" x14ac:dyDescent="0.25">
      <c r="B181" s="12"/>
      <c r="C181" s="12"/>
      <c r="D181" s="12"/>
      <c r="E181" s="210"/>
      <c r="F181" s="12"/>
      <c r="G181" s="12"/>
      <c r="H181" s="210"/>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row>
    <row r="182" spans="2:107" hidden="1" x14ac:dyDescent="0.25">
      <c r="B182" s="12"/>
      <c r="C182" s="12"/>
      <c r="D182" s="12"/>
      <c r="E182" s="210"/>
      <c r="F182" s="12"/>
      <c r="G182" s="12"/>
      <c r="H182" s="210"/>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row>
    <row r="183" spans="2:107" hidden="1" x14ac:dyDescent="0.25">
      <c r="B183" s="12"/>
      <c r="C183" s="12"/>
      <c r="D183" s="12"/>
      <c r="E183" s="210"/>
      <c r="F183" s="12"/>
      <c r="G183" s="12"/>
      <c r="H183" s="210"/>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row>
    <row r="184" spans="2:107" hidden="1" x14ac:dyDescent="0.25">
      <c r="B184" s="12"/>
      <c r="C184" s="12"/>
      <c r="D184" s="12"/>
      <c r="E184" s="210"/>
      <c r="F184" s="12"/>
      <c r="G184" s="12"/>
      <c r="H184" s="210"/>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row>
    <row r="185" spans="2:107" hidden="1" x14ac:dyDescent="0.25">
      <c r="B185" s="12"/>
      <c r="C185" s="12"/>
      <c r="D185" s="12"/>
      <c r="E185" s="210"/>
      <c r="F185" s="12"/>
      <c r="G185" s="12"/>
      <c r="H185" s="210"/>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row>
    <row r="186" spans="2:107" hidden="1" x14ac:dyDescent="0.25">
      <c r="B186" s="12"/>
      <c r="C186" s="12"/>
      <c r="D186" s="12"/>
      <c r="E186" s="210"/>
      <c r="F186" s="12"/>
      <c r="G186" s="12"/>
      <c r="H186" s="210"/>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row>
    <row r="187" spans="2:107" hidden="1" x14ac:dyDescent="0.25">
      <c r="B187" s="12"/>
      <c r="C187" s="12"/>
      <c r="D187" s="12"/>
      <c r="E187" s="210"/>
      <c r="F187" s="12"/>
      <c r="G187" s="12"/>
      <c r="H187" s="210"/>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row>
    <row r="188" spans="2:107" hidden="1" x14ac:dyDescent="0.25">
      <c r="B188" s="12"/>
      <c r="C188" s="12"/>
      <c r="D188" s="12"/>
      <c r="E188" s="210"/>
      <c r="F188" s="12"/>
      <c r="G188" s="12"/>
      <c r="H188" s="210"/>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row>
    <row r="189" spans="2:107" hidden="1" x14ac:dyDescent="0.25">
      <c r="B189" s="12"/>
      <c r="C189" s="12"/>
      <c r="D189" s="12"/>
      <c r="E189" s="210"/>
      <c r="F189" s="12"/>
      <c r="G189" s="12"/>
      <c r="H189" s="210"/>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row>
    <row r="190" spans="2:107" hidden="1" x14ac:dyDescent="0.25">
      <c r="B190" s="12"/>
      <c r="C190" s="12"/>
      <c r="D190" s="12"/>
      <c r="E190" s="210"/>
      <c r="F190" s="12"/>
      <c r="G190" s="12"/>
      <c r="H190" s="210"/>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row>
    <row r="191" spans="2:107" hidden="1" x14ac:dyDescent="0.25">
      <c r="B191" s="12"/>
      <c r="C191" s="12"/>
      <c r="D191" s="12"/>
      <c r="E191" s="210"/>
      <c r="F191" s="12"/>
      <c r="G191" s="12"/>
      <c r="H191" s="210"/>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row>
    <row r="192" spans="2:107" hidden="1" x14ac:dyDescent="0.25">
      <c r="B192" s="12"/>
      <c r="C192" s="12"/>
      <c r="D192" s="12"/>
      <c r="E192" s="210"/>
      <c r="F192" s="12"/>
      <c r="G192" s="12"/>
      <c r="H192" s="210"/>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row>
    <row r="193" spans="2:107" hidden="1" x14ac:dyDescent="0.25">
      <c r="B193" s="12"/>
      <c r="C193" s="12"/>
      <c r="D193" s="12"/>
      <c r="E193" s="210"/>
      <c r="F193" s="12"/>
      <c r="G193" s="12"/>
      <c r="H193" s="210"/>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row>
    <row r="194" spans="2:107" hidden="1" x14ac:dyDescent="0.25">
      <c r="B194" s="12"/>
      <c r="C194" s="12"/>
      <c r="D194" s="12"/>
      <c r="E194" s="210"/>
      <c r="F194" s="12"/>
      <c r="G194" s="12"/>
      <c r="H194" s="210"/>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row>
    <row r="195" spans="2:107" hidden="1" x14ac:dyDescent="0.25">
      <c r="B195" s="12"/>
      <c r="C195" s="12"/>
      <c r="D195" s="12"/>
      <c r="E195" s="210"/>
      <c r="F195" s="12"/>
      <c r="G195" s="12"/>
      <c r="H195" s="210"/>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row>
    <row r="196" spans="2:107" hidden="1" x14ac:dyDescent="0.25">
      <c r="B196" s="12"/>
      <c r="C196" s="12"/>
      <c r="D196" s="12"/>
      <c r="E196" s="210"/>
      <c r="F196" s="12"/>
      <c r="G196" s="12"/>
      <c r="H196" s="210"/>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row>
    <row r="197" spans="2:107" hidden="1" x14ac:dyDescent="0.25">
      <c r="B197" s="12"/>
      <c r="C197" s="12"/>
      <c r="D197" s="12"/>
      <c r="E197" s="210"/>
      <c r="F197" s="12"/>
      <c r="G197" s="12"/>
      <c r="H197" s="210"/>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row>
    <row r="198" spans="2:107" hidden="1" x14ac:dyDescent="0.25">
      <c r="B198" s="12"/>
      <c r="C198" s="12"/>
      <c r="D198" s="12"/>
      <c r="E198" s="210"/>
      <c r="F198" s="12"/>
      <c r="G198" s="12"/>
      <c r="H198" s="210"/>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row>
    <row r="199" spans="2:107" hidden="1" x14ac:dyDescent="0.25">
      <c r="B199" s="12"/>
      <c r="C199" s="12"/>
      <c r="D199" s="12"/>
      <c r="E199" s="210"/>
      <c r="F199" s="12"/>
      <c r="G199" s="12"/>
      <c r="H199" s="210"/>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row>
    <row r="200" spans="2:107" hidden="1" x14ac:dyDescent="0.25">
      <c r="B200" s="12"/>
      <c r="C200" s="12"/>
      <c r="D200" s="12"/>
      <c r="E200" s="210"/>
      <c r="F200" s="12"/>
      <c r="G200" s="12"/>
      <c r="H200" s="210"/>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row>
    <row r="201" spans="2:107" hidden="1" x14ac:dyDescent="0.25">
      <c r="B201" s="12"/>
      <c r="C201" s="12"/>
      <c r="D201" s="12"/>
      <c r="E201" s="210"/>
      <c r="F201" s="12"/>
      <c r="G201" s="12"/>
      <c r="H201" s="210"/>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row>
    <row r="202" spans="2:107" hidden="1" x14ac:dyDescent="0.25">
      <c r="B202" s="12"/>
      <c r="C202" s="12"/>
      <c r="D202" s="12"/>
      <c r="E202" s="210"/>
      <c r="F202" s="12"/>
      <c r="G202" s="12"/>
      <c r="H202" s="210"/>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row>
    <row r="203" spans="2:107" hidden="1" x14ac:dyDescent="0.25">
      <c r="B203" s="12"/>
      <c r="C203" s="12"/>
      <c r="D203" s="12"/>
      <c r="E203" s="210"/>
      <c r="F203" s="12"/>
      <c r="G203" s="12"/>
      <c r="H203" s="210"/>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row>
    <row r="204" spans="2:107" hidden="1" x14ac:dyDescent="0.25">
      <c r="B204" s="12"/>
      <c r="C204" s="12"/>
      <c r="D204" s="12"/>
      <c r="E204" s="210"/>
      <c r="F204" s="12"/>
      <c r="G204" s="12"/>
      <c r="H204" s="210"/>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row>
    <row r="205" spans="2:107" hidden="1" x14ac:dyDescent="0.25">
      <c r="B205" s="12"/>
      <c r="C205" s="12"/>
      <c r="D205" s="12"/>
      <c r="E205" s="210"/>
      <c r="F205" s="12"/>
      <c r="G205" s="12"/>
      <c r="H205" s="210"/>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row>
    <row r="206" spans="2:107" hidden="1" x14ac:dyDescent="0.25">
      <c r="B206" s="12"/>
      <c r="C206" s="12"/>
      <c r="D206" s="12"/>
      <c r="E206" s="210"/>
      <c r="F206" s="12"/>
      <c r="G206" s="12"/>
      <c r="H206" s="210"/>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row>
    <row r="207" spans="2:107" hidden="1" x14ac:dyDescent="0.25">
      <c r="B207" s="12"/>
      <c r="C207" s="12"/>
      <c r="D207" s="12"/>
      <c r="E207" s="210"/>
      <c r="F207" s="12"/>
      <c r="G207" s="12"/>
      <c r="H207" s="210"/>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row>
    <row r="208" spans="2:107" hidden="1" x14ac:dyDescent="0.25">
      <c r="B208" s="12"/>
      <c r="C208" s="12"/>
      <c r="D208" s="12"/>
      <c r="E208" s="210"/>
      <c r="F208" s="12"/>
      <c r="G208" s="12"/>
      <c r="H208" s="210"/>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row>
    <row r="209" spans="2:107" hidden="1" x14ac:dyDescent="0.25">
      <c r="B209" s="12"/>
      <c r="C209" s="12"/>
      <c r="D209" s="12"/>
      <c r="E209" s="210"/>
      <c r="F209" s="12"/>
      <c r="G209" s="12"/>
      <c r="H209" s="210"/>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row>
    <row r="210" spans="2:107" hidden="1" x14ac:dyDescent="0.25">
      <c r="B210" s="12"/>
      <c r="C210" s="12"/>
      <c r="D210" s="12"/>
      <c r="E210" s="210"/>
      <c r="F210" s="12"/>
      <c r="G210" s="12"/>
      <c r="H210" s="210"/>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row>
    <row r="211" spans="2:107" hidden="1" x14ac:dyDescent="0.25">
      <c r="B211" s="12"/>
      <c r="C211" s="12"/>
      <c r="D211" s="12"/>
      <c r="E211" s="210"/>
      <c r="F211" s="12"/>
      <c r="G211" s="12"/>
      <c r="H211" s="210"/>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row>
    <row r="212" spans="2:107" hidden="1" x14ac:dyDescent="0.25">
      <c r="B212" s="12"/>
      <c r="C212" s="12"/>
      <c r="D212" s="12"/>
      <c r="E212" s="210"/>
      <c r="F212" s="12"/>
      <c r="G212" s="12"/>
      <c r="H212" s="210"/>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row>
    <row r="213" spans="2:107" hidden="1" x14ac:dyDescent="0.25">
      <c r="B213" s="12"/>
      <c r="C213" s="12"/>
      <c r="D213" s="12"/>
      <c r="E213" s="210"/>
      <c r="F213" s="12"/>
      <c r="G213" s="12"/>
      <c r="H213" s="210"/>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row>
    <row r="214" spans="2:107" hidden="1" x14ac:dyDescent="0.25">
      <c r="B214" s="12"/>
      <c r="C214" s="12"/>
      <c r="D214" s="12"/>
      <c r="E214" s="210"/>
      <c r="F214" s="12"/>
      <c r="G214" s="12"/>
      <c r="H214" s="210"/>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row>
    <row r="215" spans="2:107" hidden="1" x14ac:dyDescent="0.25">
      <c r="B215" s="12"/>
      <c r="C215" s="12"/>
      <c r="D215" s="12"/>
      <c r="E215" s="210"/>
      <c r="F215" s="12"/>
      <c r="G215" s="12"/>
      <c r="H215" s="210"/>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row>
    <row r="216" spans="2:107" hidden="1" x14ac:dyDescent="0.25">
      <c r="B216" s="12"/>
      <c r="C216" s="12"/>
      <c r="D216" s="12"/>
      <c r="E216" s="210"/>
      <c r="F216" s="12"/>
      <c r="G216" s="12"/>
      <c r="H216" s="210"/>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row>
    <row r="217" spans="2:107" hidden="1" x14ac:dyDescent="0.25">
      <c r="B217" s="12"/>
      <c r="C217" s="12"/>
      <c r="D217" s="12"/>
      <c r="E217" s="210"/>
      <c r="F217" s="12"/>
      <c r="G217" s="12"/>
      <c r="H217" s="210"/>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row>
    <row r="218" spans="2:107" hidden="1" x14ac:dyDescent="0.25">
      <c r="B218" s="12"/>
      <c r="C218" s="12"/>
      <c r="D218" s="12"/>
      <c r="E218" s="210"/>
      <c r="F218" s="12"/>
      <c r="G218" s="12"/>
      <c r="H218" s="210"/>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row>
    <row r="219" spans="2:107" hidden="1" x14ac:dyDescent="0.25">
      <c r="B219" s="12"/>
      <c r="C219" s="12"/>
      <c r="D219" s="12"/>
      <c r="E219" s="210"/>
      <c r="F219" s="12"/>
      <c r="G219" s="12"/>
      <c r="H219" s="210"/>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row>
    <row r="220" spans="2:107" hidden="1" x14ac:dyDescent="0.25">
      <c r="B220" s="12"/>
      <c r="C220" s="12"/>
      <c r="D220" s="12"/>
      <c r="E220" s="210"/>
      <c r="F220" s="12"/>
      <c r="G220" s="12"/>
      <c r="H220" s="210"/>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row>
    <row r="221" spans="2:107" hidden="1" x14ac:dyDescent="0.25">
      <c r="B221" s="12"/>
      <c r="C221" s="12"/>
      <c r="D221" s="12"/>
      <c r="E221" s="210"/>
      <c r="F221" s="12"/>
      <c r="G221" s="12"/>
      <c r="H221" s="210"/>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row>
    <row r="222" spans="2:107" hidden="1" x14ac:dyDescent="0.25">
      <c r="B222" s="12"/>
      <c r="C222" s="12"/>
      <c r="D222" s="12"/>
      <c r="E222" s="210"/>
      <c r="F222" s="12"/>
      <c r="G222" s="12"/>
      <c r="H222" s="210"/>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row>
    <row r="223" spans="2:107" hidden="1" x14ac:dyDescent="0.25">
      <c r="B223" s="12"/>
      <c r="C223" s="12"/>
      <c r="D223" s="12"/>
      <c r="E223" s="210"/>
      <c r="F223" s="12"/>
      <c r="G223" s="12"/>
      <c r="H223" s="210"/>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row>
    <row r="224" spans="2:107" hidden="1" x14ac:dyDescent="0.25">
      <c r="B224" s="12"/>
      <c r="C224" s="12"/>
      <c r="D224" s="12"/>
      <c r="E224" s="210"/>
      <c r="F224" s="12"/>
      <c r="G224" s="12"/>
      <c r="H224" s="210"/>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row>
    <row r="225" spans="2:107" hidden="1" x14ac:dyDescent="0.25">
      <c r="B225" s="12"/>
      <c r="C225" s="12"/>
      <c r="D225" s="12"/>
      <c r="E225" s="210"/>
      <c r="F225" s="12"/>
      <c r="G225" s="12"/>
      <c r="H225" s="210"/>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row>
    <row r="226" spans="2:107" hidden="1" x14ac:dyDescent="0.25">
      <c r="B226" s="12"/>
      <c r="C226" s="12"/>
      <c r="D226" s="12"/>
      <c r="E226" s="210"/>
      <c r="F226" s="12"/>
      <c r="G226" s="12"/>
      <c r="H226" s="210"/>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row>
    <row r="227" spans="2:107" hidden="1" x14ac:dyDescent="0.25">
      <c r="B227" s="12"/>
      <c r="C227" s="12"/>
      <c r="D227" s="12"/>
      <c r="E227" s="210"/>
      <c r="F227" s="12"/>
      <c r="G227" s="12"/>
      <c r="H227" s="210"/>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row>
    <row r="228" spans="2:107" hidden="1" x14ac:dyDescent="0.25">
      <c r="B228" s="12"/>
      <c r="C228" s="12"/>
      <c r="D228" s="12"/>
      <c r="E228" s="210"/>
      <c r="F228" s="12"/>
      <c r="G228" s="12"/>
      <c r="H228" s="210"/>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row>
    <row r="229" spans="2:107" hidden="1" x14ac:dyDescent="0.25">
      <c r="B229" s="12"/>
      <c r="C229" s="12"/>
      <c r="D229" s="12"/>
      <c r="E229" s="210"/>
      <c r="F229" s="12"/>
      <c r="G229" s="12"/>
      <c r="H229" s="210"/>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row>
    <row r="230" spans="2:107" hidden="1" x14ac:dyDescent="0.25">
      <c r="B230" s="12"/>
      <c r="C230" s="12"/>
      <c r="D230" s="12"/>
      <c r="E230" s="210"/>
      <c r="F230" s="12"/>
      <c r="G230" s="12"/>
      <c r="H230" s="210"/>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row>
    <row r="231" spans="2:107" hidden="1" x14ac:dyDescent="0.25">
      <c r="B231" s="12"/>
      <c r="C231" s="12"/>
      <c r="D231" s="12"/>
      <c r="E231" s="210"/>
      <c r="F231" s="12"/>
      <c r="G231" s="12"/>
      <c r="H231" s="210"/>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row>
    <row r="232" spans="2:107" hidden="1" x14ac:dyDescent="0.25">
      <c r="B232" s="12"/>
      <c r="C232" s="12"/>
      <c r="D232" s="12"/>
      <c r="E232" s="210"/>
      <c r="F232" s="12"/>
      <c r="G232" s="12"/>
      <c r="H232" s="210"/>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row>
    <row r="233" spans="2:107" hidden="1" x14ac:dyDescent="0.25">
      <c r="B233" s="12"/>
      <c r="C233" s="12"/>
      <c r="D233" s="12"/>
      <c r="E233" s="210"/>
      <c r="F233" s="12"/>
      <c r="G233" s="12"/>
      <c r="H233" s="210"/>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row>
    <row r="234" spans="2:107" hidden="1" x14ac:dyDescent="0.25">
      <c r="B234" s="12"/>
      <c r="C234" s="12"/>
      <c r="D234" s="12"/>
      <c r="E234" s="210"/>
      <c r="F234" s="12"/>
      <c r="G234" s="12"/>
      <c r="H234" s="210"/>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row>
    <row r="235" spans="2:107" hidden="1" x14ac:dyDescent="0.25">
      <c r="B235" s="12"/>
      <c r="C235" s="12"/>
      <c r="D235" s="12"/>
      <c r="E235" s="210"/>
      <c r="F235" s="12"/>
      <c r="G235" s="12"/>
      <c r="H235" s="210"/>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row>
    <row r="236" spans="2:107" hidden="1" x14ac:dyDescent="0.25">
      <c r="B236" s="12"/>
      <c r="C236" s="12"/>
      <c r="D236" s="12"/>
      <c r="E236" s="210"/>
      <c r="F236" s="12"/>
      <c r="G236" s="12"/>
      <c r="H236" s="210"/>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row>
    <row r="237" spans="2:107" hidden="1" x14ac:dyDescent="0.25">
      <c r="B237" s="12"/>
      <c r="C237" s="12"/>
      <c r="D237" s="12"/>
      <c r="E237" s="210"/>
      <c r="F237" s="12"/>
      <c r="G237" s="12"/>
      <c r="H237" s="210"/>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row>
    <row r="238" spans="2:107" hidden="1" x14ac:dyDescent="0.25">
      <c r="B238" s="12"/>
      <c r="C238" s="12"/>
      <c r="D238" s="12"/>
      <c r="E238" s="210"/>
      <c r="F238" s="12"/>
      <c r="G238" s="12"/>
      <c r="H238" s="210"/>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row>
    <row r="239" spans="2:107" hidden="1" x14ac:dyDescent="0.25">
      <c r="B239" s="12"/>
      <c r="C239" s="12"/>
      <c r="D239" s="12"/>
      <c r="E239" s="210"/>
      <c r="F239" s="12"/>
      <c r="G239" s="12"/>
      <c r="H239" s="210"/>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row>
    <row r="240" spans="2:107" hidden="1" x14ac:dyDescent="0.25">
      <c r="B240" s="12"/>
      <c r="C240" s="12"/>
      <c r="D240" s="12"/>
      <c r="E240" s="210"/>
      <c r="F240" s="12"/>
      <c r="G240" s="12"/>
      <c r="H240" s="210"/>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row>
    <row r="241" spans="2:107" hidden="1" x14ac:dyDescent="0.25">
      <c r="B241" s="12"/>
      <c r="C241" s="12"/>
      <c r="D241" s="12"/>
      <c r="E241" s="210"/>
      <c r="F241" s="12"/>
      <c r="G241" s="12"/>
      <c r="H241" s="210"/>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row>
    <row r="242" spans="2:107" hidden="1" x14ac:dyDescent="0.25">
      <c r="B242" s="12"/>
      <c r="C242" s="12"/>
      <c r="D242" s="12"/>
      <c r="E242" s="210"/>
      <c r="F242" s="12"/>
      <c r="G242" s="12"/>
      <c r="H242" s="210"/>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row>
    <row r="243" spans="2:107" hidden="1" x14ac:dyDescent="0.25">
      <c r="B243" s="12"/>
      <c r="C243" s="12"/>
      <c r="D243" s="12"/>
      <c r="E243" s="210"/>
      <c r="F243" s="12"/>
      <c r="G243" s="12"/>
      <c r="H243" s="210"/>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row>
    <row r="244" spans="2:107" hidden="1" x14ac:dyDescent="0.25">
      <c r="B244" s="12"/>
      <c r="C244" s="12"/>
      <c r="D244" s="12"/>
      <c r="E244" s="210"/>
      <c r="F244" s="12"/>
      <c r="G244" s="12"/>
      <c r="H244" s="210"/>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row>
    <row r="245" spans="2:107" hidden="1" x14ac:dyDescent="0.25">
      <c r="B245" s="12"/>
      <c r="C245" s="12"/>
      <c r="D245" s="12"/>
      <c r="E245" s="210"/>
      <c r="F245" s="12"/>
      <c r="G245" s="12"/>
      <c r="H245" s="210"/>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row>
    <row r="246" spans="2:107" hidden="1" x14ac:dyDescent="0.25">
      <c r="B246" s="12"/>
      <c r="C246" s="12"/>
      <c r="D246" s="12"/>
      <c r="E246" s="210"/>
      <c r="F246" s="12"/>
      <c r="G246" s="12"/>
      <c r="H246" s="210"/>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row>
    <row r="247" spans="2:107" hidden="1" x14ac:dyDescent="0.25">
      <c r="B247" s="12"/>
      <c r="C247" s="12"/>
      <c r="D247" s="12"/>
      <c r="E247" s="210"/>
      <c r="F247" s="12"/>
      <c r="G247" s="12"/>
      <c r="H247" s="210"/>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row>
    <row r="248" spans="2:107" hidden="1" x14ac:dyDescent="0.25">
      <c r="B248" s="12"/>
      <c r="C248" s="12"/>
      <c r="D248" s="12"/>
      <c r="E248" s="210"/>
      <c r="F248" s="12"/>
      <c r="G248" s="12"/>
      <c r="H248" s="210"/>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row>
    <row r="249" spans="2:107" hidden="1" x14ac:dyDescent="0.25">
      <c r="B249" s="12"/>
      <c r="C249" s="12"/>
      <c r="D249" s="12"/>
      <c r="E249" s="210"/>
      <c r="F249" s="12"/>
      <c r="G249" s="12"/>
      <c r="H249" s="210"/>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row>
    <row r="250" spans="2:107" hidden="1" x14ac:dyDescent="0.25">
      <c r="B250" s="12"/>
      <c r="C250" s="12"/>
      <c r="D250" s="12"/>
      <c r="E250" s="210"/>
      <c r="F250" s="12"/>
      <c r="G250" s="12"/>
      <c r="H250" s="210"/>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row>
    <row r="251" spans="2:107" hidden="1" x14ac:dyDescent="0.25">
      <c r="B251" s="12"/>
      <c r="C251" s="12"/>
      <c r="D251" s="12"/>
      <c r="E251" s="210"/>
      <c r="F251" s="12"/>
      <c r="G251" s="12"/>
      <c r="H251" s="210"/>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row>
    <row r="252" spans="2:107" hidden="1" x14ac:dyDescent="0.25">
      <c r="B252" s="12"/>
      <c r="C252" s="12"/>
      <c r="D252" s="12"/>
      <c r="E252" s="210"/>
      <c r="F252" s="12"/>
      <c r="G252" s="12"/>
      <c r="H252" s="210"/>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row>
    <row r="253" spans="2:107" hidden="1" x14ac:dyDescent="0.25">
      <c r="B253" s="12"/>
      <c r="C253" s="12"/>
      <c r="D253" s="12"/>
      <c r="E253" s="210"/>
      <c r="F253" s="12"/>
      <c r="G253" s="12"/>
      <c r="H253" s="210"/>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row>
    <row r="254" spans="2:107" hidden="1" x14ac:dyDescent="0.25">
      <c r="B254" s="12"/>
      <c r="C254" s="12"/>
      <c r="D254" s="12"/>
      <c r="E254" s="210"/>
      <c r="F254" s="12"/>
      <c r="G254" s="12"/>
      <c r="H254" s="210"/>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row>
    <row r="255" spans="2:107" hidden="1" x14ac:dyDescent="0.25">
      <c r="B255" s="12"/>
      <c r="C255" s="12"/>
      <c r="D255" s="12"/>
      <c r="E255" s="210"/>
      <c r="F255" s="12"/>
      <c r="G255" s="12"/>
      <c r="H255" s="210"/>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row>
    <row r="256" spans="2:107" hidden="1" x14ac:dyDescent="0.25">
      <c r="B256" s="12"/>
      <c r="C256" s="12"/>
      <c r="D256" s="12"/>
      <c r="E256" s="210"/>
      <c r="F256" s="12"/>
      <c r="G256" s="12"/>
      <c r="H256" s="210"/>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row>
    <row r="257" spans="2:107" hidden="1" x14ac:dyDescent="0.25">
      <c r="B257" s="12"/>
      <c r="C257" s="12"/>
      <c r="D257" s="12"/>
      <c r="E257" s="210"/>
      <c r="F257" s="12"/>
      <c r="G257" s="12"/>
      <c r="H257" s="210"/>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row>
    <row r="258" spans="2:107" hidden="1" x14ac:dyDescent="0.25">
      <c r="B258" s="12"/>
      <c r="C258" s="12"/>
      <c r="D258" s="12"/>
      <c r="E258" s="210"/>
      <c r="F258" s="12"/>
      <c r="G258" s="12"/>
      <c r="H258" s="210"/>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row>
    <row r="259" spans="2:107" hidden="1" x14ac:dyDescent="0.25">
      <c r="B259" s="12"/>
      <c r="C259" s="12"/>
      <c r="D259" s="12"/>
      <c r="E259" s="210"/>
      <c r="F259" s="12"/>
      <c r="G259" s="12"/>
      <c r="H259" s="210"/>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row>
    <row r="260" spans="2:107" hidden="1" x14ac:dyDescent="0.25">
      <c r="B260" s="12"/>
      <c r="C260" s="12"/>
      <c r="D260" s="12"/>
      <c r="E260" s="210"/>
      <c r="F260" s="12"/>
      <c r="G260" s="12"/>
      <c r="H260" s="210"/>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row>
    <row r="261" spans="2:107" hidden="1" x14ac:dyDescent="0.25">
      <c r="B261" s="12"/>
      <c r="C261" s="12"/>
      <c r="D261" s="12"/>
      <c r="E261" s="210"/>
      <c r="F261" s="12"/>
      <c r="G261" s="12"/>
      <c r="H261" s="210"/>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row>
    <row r="262" spans="2:107" hidden="1" x14ac:dyDescent="0.25">
      <c r="B262" s="12"/>
      <c r="C262" s="12"/>
      <c r="D262" s="12"/>
      <c r="E262" s="210"/>
      <c r="F262" s="12"/>
      <c r="G262" s="12"/>
      <c r="H262" s="210"/>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row>
    <row r="263" spans="2:107" hidden="1" x14ac:dyDescent="0.25">
      <c r="B263" s="12"/>
      <c r="C263" s="12"/>
      <c r="D263" s="12"/>
      <c r="E263" s="210"/>
      <c r="F263" s="12"/>
      <c r="G263" s="12"/>
      <c r="H263" s="210"/>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row>
    <row r="264" spans="2:107" hidden="1" x14ac:dyDescent="0.25">
      <c r="B264" s="12"/>
      <c r="C264" s="12"/>
      <c r="D264" s="12"/>
      <c r="E264" s="210"/>
      <c r="F264" s="12"/>
      <c r="G264" s="12"/>
      <c r="H264" s="210"/>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row>
    <row r="265" spans="2:107" hidden="1" x14ac:dyDescent="0.25">
      <c r="B265" s="12"/>
      <c r="C265" s="12"/>
      <c r="D265" s="12"/>
      <c r="E265" s="210"/>
      <c r="F265" s="12"/>
      <c r="G265" s="12"/>
      <c r="H265" s="210"/>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row>
    <row r="266" spans="2:107" hidden="1" x14ac:dyDescent="0.25">
      <c r="B266" s="12"/>
      <c r="C266" s="12"/>
      <c r="D266" s="12"/>
      <c r="E266" s="210"/>
      <c r="F266" s="12"/>
      <c r="G266" s="12"/>
      <c r="H266" s="210"/>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row>
    <row r="267" spans="2:107" hidden="1" x14ac:dyDescent="0.25">
      <c r="B267" s="12"/>
      <c r="C267" s="12"/>
      <c r="D267" s="12"/>
      <c r="E267" s="210"/>
      <c r="F267" s="12"/>
      <c r="G267" s="12"/>
      <c r="H267" s="210"/>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row>
    <row r="268" spans="2:107" hidden="1" x14ac:dyDescent="0.25">
      <c r="B268" s="12"/>
      <c r="C268" s="12"/>
      <c r="D268" s="12"/>
      <c r="E268" s="210"/>
      <c r="F268" s="12"/>
      <c r="G268" s="12"/>
      <c r="H268" s="210"/>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row>
    <row r="269" spans="2:107" hidden="1" x14ac:dyDescent="0.25">
      <c r="B269" s="12"/>
      <c r="C269" s="12"/>
      <c r="D269" s="12"/>
      <c r="E269" s="210"/>
      <c r="F269" s="12"/>
      <c r="G269" s="12"/>
      <c r="H269" s="210"/>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row>
    <row r="270" spans="2:107" hidden="1" x14ac:dyDescent="0.25">
      <c r="B270" s="12"/>
      <c r="C270" s="12"/>
      <c r="D270" s="12"/>
      <c r="E270" s="210"/>
      <c r="F270" s="12"/>
      <c r="G270" s="12"/>
      <c r="H270" s="210"/>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row>
    <row r="271" spans="2:107" hidden="1" x14ac:dyDescent="0.25">
      <c r="B271" s="12"/>
      <c r="C271" s="12"/>
      <c r="D271" s="12"/>
      <c r="E271" s="210"/>
      <c r="F271" s="12"/>
      <c r="G271" s="12"/>
      <c r="H271" s="210"/>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row>
    <row r="272" spans="2:107" hidden="1" x14ac:dyDescent="0.25">
      <c r="B272" s="12"/>
      <c r="C272" s="12"/>
      <c r="D272" s="12"/>
      <c r="E272" s="210"/>
      <c r="F272" s="12"/>
      <c r="G272" s="12"/>
      <c r="H272" s="210"/>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row>
    <row r="273" spans="2:107" hidden="1" x14ac:dyDescent="0.25">
      <c r="B273" s="12"/>
      <c r="C273" s="12"/>
      <c r="D273" s="12"/>
      <c r="E273" s="210"/>
      <c r="F273" s="12"/>
      <c r="G273" s="12"/>
      <c r="H273" s="210"/>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row>
    <row r="274" spans="2:107" hidden="1" x14ac:dyDescent="0.25">
      <c r="B274" s="12"/>
      <c r="C274" s="12"/>
      <c r="D274" s="12"/>
      <c r="E274" s="210"/>
      <c r="F274" s="12"/>
      <c r="G274" s="12"/>
      <c r="H274" s="210"/>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row>
    <row r="275" spans="2:107" hidden="1" x14ac:dyDescent="0.25">
      <c r="B275" s="12"/>
      <c r="C275" s="12"/>
      <c r="D275" s="12"/>
      <c r="E275" s="210"/>
      <c r="F275" s="12"/>
      <c r="G275" s="12"/>
      <c r="H275" s="210"/>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row>
    <row r="276" spans="2:107" hidden="1" x14ac:dyDescent="0.25">
      <c r="B276" s="12"/>
      <c r="C276" s="12"/>
      <c r="D276" s="12"/>
      <c r="E276" s="210"/>
      <c r="F276" s="12"/>
      <c r="G276" s="12"/>
      <c r="H276" s="210"/>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row>
    <row r="277" spans="2:107" hidden="1" x14ac:dyDescent="0.25">
      <c r="B277" s="12"/>
      <c r="C277" s="12"/>
      <c r="D277" s="12"/>
      <c r="E277" s="210"/>
      <c r="F277" s="12"/>
      <c r="G277" s="12"/>
      <c r="H277" s="210"/>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row>
    <row r="278" spans="2:107" hidden="1" x14ac:dyDescent="0.25">
      <c r="B278" s="12"/>
      <c r="C278" s="12"/>
      <c r="D278" s="12"/>
      <c r="E278" s="210"/>
      <c r="F278" s="12"/>
      <c r="G278" s="12"/>
      <c r="H278" s="210"/>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row>
    <row r="279" spans="2:107" hidden="1" x14ac:dyDescent="0.25">
      <c r="B279" s="12"/>
      <c r="C279" s="12"/>
      <c r="D279" s="12"/>
      <c r="E279" s="210"/>
      <c r="F279" s="12"/>
      <c r="G279" s="12"/>
      <c r="H279" s="210"/>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row>
    <row r="280" spans="2:107" hidden="1" x14ac:dyDescent="0.25">
      <c r="B280" s="12"/>
      <c r="C280" s="12"/>
      <c r="D280" s="12"/>
      <c r="E280" s="210"/>
      <c r="F280" s="12"/>
      <c r="G280" s="12"/>
      <c r="H280" s="210"/>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row>
    <row r="281" spans="2:107" hidden="1" x14ac:dyDescent="0.25">
      <c r="B281" s="12"/>
      <c r="C281" s="12"/>
      <c r="D281" s="12"/>
      <c r="E281" s="210"/>
      <c r="F281" s="12"/>
      <c r="G281" s="12"/>
      <c r="H281" s="210"/>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row>
    <row r="282" spans="2:107" hidden="1" x14ac:dyDescent="0.25">
      <c r="B282" s="12"/>
      <c r="C282" s="12"/>
      <c r="D282" s="12"/>
      <c r="E282" s="210"/>
      <c r="F282" s="12"/>
      <c r="G282" s="12"/>
      <c r="H282" s="210"/>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row>
    <row r="283" spans="2:107" hidden="1" x14ac:dyDescent="0.25">
      <c r="B283" s="12"/>
      <c r="C283" s="12"/>
      <c r="D283" s="12"/>
      <c r="E283" s="210"/>
      <c r="F283" s="12"/>
      <c r="G283" s="12"/>
      <c r="H283" s="210"/>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row>
    <row r="284" spans="2:107" hidden="1" x14ac:dyDescent="0.25">
      <c r="B284" s="12"/>
      <c r="C284" s="12"/>
      <c r="D284" s="12"/>
      <c r="E284" s="210"/>
      <c r="F284" s="12"/>
      <c r="G284" s="12"/>
      <c r="H284" s="210"/>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row>
    <row r="285" spans="2:107" hidden="1" x14ac:dyDescent="0.25">
      <c r="B285" s="12"/>
      <c r="C285" s="12"/>
      <c r="D285" s="12"/>
      <c r="E285" s="210"/>
      <c r="F285" s="12"/>
      <c r="G285" s="12"/>
      <c r="H285" s="210"/>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row>
    <row r="286" spans="2:107" hidden="1" x14ac:dyDescent="0.25">
      <c r="B286" s="12"/>
      <c r="C286" s="12"/>
      <c r="D286" s="12"/>
      <c r="E286" s="210"/>
      <c r="F286" s="12"/>
      <c r="G286" s="12"/>
      <c r="H286" s="210"/>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row>
    <row r="287" spans="2:107" hidden="1" x14ac:dyDescent="0.25">
      <c r="B287" s="12"/>
      <c r="C287" s="12"/>
      <c r="D287" s="12"/>
      <c r="E287" s="210"/>
      <c r="F287" s="12"/>
      <c r="G287" s="12"/>
      <c r="H287" s="210"/>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row>
    <row r="288" spans="2:107" hidden="1" x14ac:dyDescent="0.25">
      <c r="B288" s="12"/>
      <c r="C288" s="12"/>
      <c r="D288" s="12"/>
      <c r="E288" s="210"/>
      <c r="F288" s="12"/>
      <c r="G288" s="12"/>
      <c r="H288" s="210"/>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row>
    <row r="289" spans="2:107" hidden="1" x14ac:dyDescent="0.25">
      <c r="B289" s="12"/>
      <c r="C289" s="12"/>
      <c r="D289" s="12"/>
      <c r="E289" s="210"/>
      <c r="F289" s="12"/>
      <c r="G289" s="12"/>
      <c r="H289" s="210"/>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row>
    <row r="290" spans="2:107" hidden="1" x14ac:dyDescent="0.25">
      <c r="B290" s="12"/>
      <c r="C290" s="12"/>
      <c r="D290" s="12"/>
      <c r="E290" s="210"/>
      <c r="F290" s="12"/>
      <c r="G290" s="12"/>
      <c r="H290" s="210"/>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row>
    <row r="291" spans="2:107" hidden="1" x14ac:dyDescent="0.25">
      <c r="B291" s="12"/>
      <c r="C291" s="12"/>
      <c r="D291" s="12"/>
      <c r="E291" s="210"/>
      <c r="F291" s="12"/>
      <c r="G291" s="12"/>
      <c r="H291" s="210"/>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row>
    <row r="292" spans="2:107" hidden="1" x14ac:dyDescent="0.25">
      <c r="B292" s="12"/>
      <c r="C292" s="12"/>
      <c r="D292" s="12"/>
      <c r="E292" s="210"/>
      <c r="F292" s="12"/>
      <c r="G292" s="12"/>
      <c r="H292" s="210"/>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row>
    <row r="293" spans="2:107" hidden="1" x14ac:dyDescent="0.25">
      <c r="B293" s="12"/>
      <c r="C293" s="12"/>
      <c r="D293" s="12"/>
      <c r="E293" s="210"/>
      <c r="F293" s="12"/>
      <c r="G293" s="12"/>
      <c r="H293" s="210"/>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row>
    <row r="294" spans="2:107" hidden="1" x14ac:dyDescent="0.25">
      <c r="B294" s="12"/>
      <c r="C294" s="12"/>
      <c r="D294" s="12"/>
      <c r="E294" s="210"/>
      <c r="F294" s="12"/>
      <c r="G294" s="12"/>
      <c r="H294" s="210"/>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row>
    <row r="295" spans="2:107" hidden="1" x14ac:dyDescent="0.25">
      <c r="B295" s="12"/>
      <c r="C295" s="12"/>
      <c r="D295" s="12"/>
      <c r="E295" s="210"/>
      <c r="F295" s="12"/>
      <c r="G295" s="12"/>
      <c r="H295" s="210"/>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row>
    <row r="296" spans="2:107" hidden="1" x14ac:dyDescent="0.25">
      <c r="B296" s="12"/>
      <c r="C296" s="12"/>
      <c r="D296" s="12"/>
      <c r="E296" s="210"/>
      <c r="F296" s="12"/>
      <c r="G296" s="12"/>
      <c r="H296" s="210"/>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row>
    <row r="297" spans="2:107" hidden="1" x14ac:dyDescent="0.25">
      <c r="B297" s="12"/>
      <c r="C297" s="12"/>
      <c r="D297" s="12"/>
      <c r="E297" s="210"/>
      <c r="F297" s="12"/>
      <c r="G297" s="12"/>
      <c r="H297" s="210"/>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row>
    <row r="298" spans="2:107" hidden="1" x14ac:dyDescent="0.25">
      <c r="B298" s="12"/>
      <c r="C298" s="12"/>
      <c r="D298" s="12"/>
      <c r="E298" s="210"/>
      <c r="F298" s="12"/>
      <c r="G298" s="12"/>
      <c r="H298" s="210"/>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row>
    <row r="299" spans="2:107" hidden="1" x14ac:dyDescent="0.25">
      <c r="B299" s="12"/>
      <c r="C299" s="12"/>
      <c r="D299" s="12"/>
      <c r="E299" s="210"/>
      <c r="F299" s="12"/>
      <c r="G299" s="12"/>
      <c r="H299" s="210"/>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row>
    <row r="300" spans="2:107" hidden="1" x14ac:dyDescent="0.25">
      <c r="B300" s="12"/>
      <c r="C300" s="12"/>
      <c r="D300" s="12"/>
      <c r="E300" s="210"/>
      <c r="F300" s="12"/>
      <c r="G300" s="12"/>
      <c r="H300" s="210"/>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row>
    <row r="301" spans="2:107" hidden="1" x14ac:dyDescent="0.25">
      <c r="B301" s="12"/>
      <c r="C301" s="12"/>
      <c r="D301" s="12"/>
      <c r="E301" s="210"/>
      <c r="F301" s="12"/>
      <c r="G301" s="12"/>
      <c r="H301" s="210"/>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row>
    <row r="302" spans="2:107" hidden="1" x14ac:dyDescent="0.25">
      <c r="B302" s="12"/>
      <c r="C302" s="12"/>
      <c r="D302" s="12"/>
      <c r="E302" s="210"/>
      <c r="F302" s="12"/>
      <c r="G302" s="12"/>
      <c r="H302" s="210"/>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row>
    <row r="303" spans="2:107" hidden="1" x14ac:dyDescent="0.25">
      <c r="B303" s="12"/>
      <c r="C303" s="12"/>
      <c r="D303" s="12"/>
      <c r="E303" s="210"/>
      <c r="F303" s="12"/>
      <c r="G303" s="12"/>
      <c r="H303" s="210"/>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row>
    <row r="304" spans="2:107" hidden="1" x14ac:dyDescent="0.25">
      <c r="B304" s="12"/>
      <c r="C304" s="12"/>
      <c r="D304" s="12"/>
      <c r="E304" s="210"/>
      <c r="F304" s="12"/>
      <c r="G304" s="12"/>
      <c r="H304" s="210"/>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row>
    <row r="305" spans="2:107" hidden="1" x14ac:dyDescent="0.25">
      <c r="B305" s="12"/>
      <c r="C305" s="12"/>
      <c r="D305" s="12"/>
      <c r="E305" s="210"/>
      <c r="F305" s="12"/>
      <c r="G305" s="12"/>
      <c r="H305" s="210"/>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row>
    <row r="306" spans="2:107" hidden="1" x14ac:dyDescent="0.25">
      <c r="B306" s="12"/>
      <c r="C306" s="12"/>
      <c r="D306" s="12"/>
      <c r="E306" s="210"/>
      <c r="F306" s="12"/>
      <c r="G306" s="12"/>
      <c r="H306" s="210"/>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row>
    <row r="307" spans="2:107" hidden="1" x14ac:dyDescent="0.25">
      <c r="B307" s="12"/>
      <c r="C307" s="12"/>
      <c r="D307" s="12"/>
      <c r="E307" s="210"/>
      <c r="F307" s="12"/>
      <c r="G307" s="12"/>
      <c r="H307" s="210"/>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row>
    <row r="308" spans="2:107" hidden="1" x14ac:dyDescent="0.25">
      <c r="B308" s="12"/>
      <c r="C308" s="12"/>
      <c r="D308" s="12"/>
      <c r="E308" s="210"/>
      <c r="F308" s="12"/>
      <c r="G308" s="12"/>
      <c r="H308" s="210"/>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row>
    <row r="309" spans="2:107" hidden="1" x14ac:dyDescent="0.25">
      <c r="B309" s="12"/>
      <c r="C309" s="12"/>
      <c r="D309" s="12"/>
      <c r="E309" s="210"/>
      <c r="F309" s="12"/>
      <c r="G309" s="12"/>
      <c r="H309" s="210"/>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row>
    <row r="310" spans="2:107" hidden="1" x14ac:dyDescent="0.25">
      <c r="B310" s="12"/>
      <c r="C310" s="12"/>
      <c r="D310" s="12"/>
      <c r="E310" s="210"/>
      <c r="F310" s="12"/>
      <c r="G310" s="12"/>
      <c r="H310" s="210"/>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row>
    <row r="311" spans="2:107" hidden="1" x14ac:dyDescent="0.25">
      <c r="B311" s="12"/>
      <c r="C311" s="12"/>
      <c r="D311" s="12"/>
      <c r="E311" s="210"/>
      <c r="F311" s="12"/>
      <c r="G311" s="12"/>
      <c r="H311" s="210"/>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row>
    <row r="312" spans="2:107" hidden="1" x14ac:dyDescent="0.25">
      <c r="B312" s="12"/>
      <c r="C312" s="12"/>
      <c r="D312" s="12"/>
      <c r="E312" s="210"/>
      <c r="F312" s="12"/>
      <c r="G312" s="12"/>
      <c r="H312" s="210"/>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row>
    <row r="313" spans="2:107" hidden="1" x14ac:dyDescent="0.25">
      <c r="B313" s="12"/>
      <c r="C313" s="12"/>
      <c r="D313" s="12"/>
      <c r="E313" s="210"/>
      <c r="F313" s="12"/>
      <c r="G313" s="12"/>
      <c r="H313" s="210"/>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row>
    <row r="314" spans="2:107" hidden="1" x14ac:dyDescent="0.25">
      <c r="B314" s="12"/>
      <c r="C314" s="12"/>
      <c r="D314" s="12"/>
      <c r="E314" s="210"/>
      <c r="F314" s="12"/>
      <c r="G314" s="12"/>
      <c r="H314" s="210"/>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row>
    <row r="315" spans="2:107" hidden="1" x14ac:dyDescent="0.25">
      <c r="B315" s="12"/>
      <c r="C315" s="12"/>
      <c r="D315" s="12"/>
      <c r="E315" s="210"/>
      <c r="F315" s="12"/>
      <c r="G315" s="12"/>
      <c r="H315" s="210"/>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row>
    <row r="316" spans="2:107" hidden="1" x14ac:dyDescent="0.25">
      <c r="B316" s="12"/>
      <c r="C316" s="12"/>
      <c r="D316" s="12"/>
      <c r="E316" s="210"/>
      <c r="F316" s="12"/>
      <c r="G316" s="12"/>
      <c r="H316" s="210"/>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row>
    <row r="317" spans="2:107" hidden="1" x14ac:dyDescent="0.25">
      <c r="B317" s="12"/>
      <c r="C317" s="12"/>
      <c r="D317" s="12"/>
      <c r="E317" s="210"/>
      <c r="F317" s="12"/>
      <c r="G317" s="12"/>
      <c r="H317" s="210"/>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row>
    <row r="318" spans="2:107" hidden="1" x14ac:dyDescent="0.25">
      <c r="B318" s="12"/>
      <c r="C318" s="12"/>
      <c r="D318" s="12"/>
      <c r="E318" s="210"/>
      <c r="F318" s="12"/>
      <c r="G318" s="12"/>
      <c r="H318" s="210"/>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row>
    <row r="319" spans="2:107" hidden="1" x14ac:dyDescent="0.25">
      <c r="B319" s="12"/>
      <c r="C319" s="12"/>
      <c r="D319" s="12"/>
      <c r="E319" s="210"/>
      <c r="F319" s="12"/>
      <c r="G319" s="12"/>
      <c r="H319" s="210"/>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row>
    <row r="320" spans="2:107" hidden="1" x14ac:dyDescent="0.25">
      <c r="B320" s="12"/>
      <c r="C320" s="12"/>
      <c r="D320" s="12"/>
      <c r="E320" s="210"/>
      <c r="F320" s="12"/>
      <c r="G320" s="12"/>
      <c r="H320" s="210"/>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row>
    <row r="321" spans="2:107" hidden="1" x14ac:dyDescent="0.25">
      <c r="B321" s="12"/>
      <c r="C321" s="12"/>
      <c r="D321" s="12"/>
      <c r="E321" s="210"/>
      <c r="F321" s="12"/>
      <c r="G321" s="12"/>
      <c r="H321" s="210"/>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row>
    <row r="322" spans="2:107" hidden="1" x14ac:dyDescent="0.25">
      <c r="B322" s="12"/>
      <c r="C322" s="12"/>
      <c r="D322" s="12"/>
      <c r="E322" s="210"/>
      <c r="F322" s="12"/>
      <c r="G322" s="12"/>
      <c r="H322" s="210"/>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row>
    <row r="323" spans="2:107" hidden="1" x14ac:dyDescent="0.25">
      <c r="B323" s="12"/>
      <c r="C323" s="12"/>
      <c r="D323" s="12"/>
      <c r="E323" s="210"/>
      <c r="F323" s="12"/>
      <c r="G323" s="12"/>
      <c r="H323" s="210"/>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row>
    <row r="324" spans="2:107" hidden="1" x14ac:dyDescent="0.25">
      <c r="B324" s="12"/>
      <c r="C324" s="12"/>
      <c r="D324" s="12"/>
      <c r="E324" s="210"/>
      <c r="F324" s="12"/>
      <c r="G324" s="12"/>
      <c r="H324" s="210"/>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row>
    <row r="325" spans="2:107" hidden="1" x14ac:dyDescent="0.25">
      <c r="B325" s="12"/>
      <c r="C325" s="12"/>
      <c r="D325" s="12"/>
      <c r="E325" s="210"/>
      <c r="F325" s="12"/>
      <c r="G325" s="12"/>
      <c r="H325" s="210"/>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row>
    <row r="326" spans="2:107" hidden="1" x14ac:dyDescent="0.25">
      <c r="B326" s="12"/>
      <c r="C326" s="12"/>
      <c r="D326" s="12"/>
      <c r="E326" s="210"/>
      <c r="F326" s="12"/>
      <c r="G326" s="12"/>
      <c r="H326" s="210"/>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row>
    <row r="327" spans="2:107" hidden="1" x14ac:dyDescent="0.25">
      <c r="B327" s="12"/>
      <c r="C327" s="12"/>
      <c r="D327" s="12"/>
      <c r="E327" s="210"/>
      <c r="F327" s="12"/>
      <c r="G327" s="12"/>
      <c r="H327" s="210"/>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row>
    <row r="328" spans="2:107" hidden="1" x14ac:dyDescent="0.25">
      <c r="B328" s="12"/>
      <c r="C328" s="12"/>
      <c r="D328" s="12"/>
      <c r="E328" s="210"/>
      <c r="F328" s="12"/>
      <c r="G328" s="12"/>
      <c r="H328" s="210"/>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row>
    <row r="329" spans="2:107" hidden="1" x14ac:dyDescent="0.25">
      <c r="B329" s="12"/>
      <c r="C329" s="12"/>
      <c r="D329" s="12"/>
      <c r="E329" s="210"/>
      <c r="F329" s="12"/>
      <c r="G329" s="12"/>
      <c r="H329" s="210"/>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row>
    <row r="330" spans="2:107" hidden="1" x14ac:dyDescent="0.25">
      <c r="B330" s="12"/>
      <c r="C330" s="12"/>
      <c r="D330" s="12"/>
      <c r="E330" s="210"/>
      <c r="F330" s="12"/>
      <c r="G330" s="12"/>
      <c r="H330" s="210"/>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row>
    <row r="331" spans="2:107" hidden="1" x14ac:dyDescent="0.25">
      <c r="B331" s="12"/>
      <c r="C331" s="12"/>
      <c r="D331" s="12"/>
      <c r="E331" s="210"/>
      <c r="F331" s="12"/>
      <c r="G331" s="12"/>
      <c r="H331" s="210"/>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row>
    <row r="332" spans="2:107" hidden="1" x14ac:dyDescent="0.25">
      <c r="B332" s="12"/>
      <c r="C332" s="12"/>
      <c r="D332" s="12"/>
      <c r="E332" s="210"/>
      <c r="F332" s="12"/>
      <c r="G332" s="12"/>
      <c r="H332" s="210"/>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row>
    <row r="333" spans="2:107" hidden="1" x14ac:dyDescent="0.25">
      <c r="B333" s="12"/>
      <c r="C333" s="12"/>
      <c r="D333" s="12"/>
      <c r="E333" s="210"/>
      <c r="F333" s="12"/>
      <c r="G333" s="12"/>
      <c r="H333" s="210"/>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row>
    <row r="334" spans="2:107" hidden="1" x14ac:dyDescent="0.25">
      <c r="B334" s="12"/>
      <c r="C334" s="12"/>
      <c r="D334" s="12"/>
      <c r="E334" s="210"/>
      <c r="F334" s="12"/>
      <c r="G334" s="12"/>
      <c r="H334" s="210"/>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row>
    <row r="335" spans="2:107" hidden="1" x14ac:dyDescent="0.25">
      <c r="B335" s="12"/>
      <c r="C335" s="12"/>
      <c r="D335" s="12"/>
      <c r="E335" s="210"/>
      <c r="F335" s="12"/>
      <c r="G335" s="12"/>
      <c r="H335" s="210"/>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row>
    <row r="336" spans="2:107" hidden="1" x14ac:dyDescent="0.25">
      <c r="B336" s="12"/>
      <c r="C336" s="12"/>
      <c r="D336" s="12"/>
      <c r="E336" s="210"/>
      <c r="F336" s="12"/>
      <c r="G336" s="12"/>
      <c r="H336" s="210"/>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row>
    <row r="337" spans="2:107" hidden="1" x14ac:dyDescent="0.25">
      <c r="B337" s="12"/>
      <c r="C337" s="12"/>
      <c r="D337" s="12"/>
      <c r="E337" s="210"/>
      <c r="F337" s="12"/>
      <c r="G337" s="12"/>
      <c r="H337" s="210"/>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row>
    <row r="338" spans="2:107" hidden="1" x14ac:dyDescent="0.25">
      <c r="B338" s="12"/>
      <c r="C338" s="12"/>
      <c r="D338" s="12"/>
      <c r="E338" s="210"/>
      <c r="F338" s="12"/>
      <c r="G338" s="12"/>
      <c r="H338" s="210"/>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row>
    <row r="339" spans="2:107" hidden="1" x14ac:dyDescent="0.25">
      <c r="B339" s="12"/>
      <c r="C339" s="12"/>
      <c r="D339" s="12"/>
      <c r="E339" s="210"/>
      <c r="F339" s="12"/>
      <c r="G339" s="12"/>
      <c r="H339" s="210"/>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row>
    <row r="340" spans="2:107" hidden="1" x14ac:dyDescent="0.25">
      <c r="B340" s="12"/>
      <c r="C340" s="12"/>
      <c r="D340" s="12"/>
      <c r="E340" s="210"/>
      <c r="F340" s="12"/>
      <c r="G340" s="12"/>
      <c r="H340" s="210"/>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row>
    <row r="341" spans="2:107" hidden="1" x14ac:dyDescent="0.25">
      <c r="B341" s="12"/>
      <c r="C341" s="12"/>
      <c r="D341" s="12"/>
      <c r="E341" s="210"/>
      <c r="F341" s="12"/>
      <c r="G341" s="12"/>
      <c r="H341" s="210"/>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row>
    <row r="342" spans="2:107" hidden="1" x14ac:dyDescent="0.25">
      <c r="B342" s="12"/>
      <c r="C342" s="12"/>
      <c r="D342" s="12"/>
      <c r="E342" s="210"/>
      <c r="F342" s="12"/>
      <c r="G342" s="12"/>
      <c r="H342" s="210"/>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row>
    <row r="343" spans="2:107" hidden="1" x14ac:dyDescent="0.25">
      <c r="B343" s="12"/>
      <c r="C343" s="12"/>
      <c r="D343" s="12"/>
      <c r="E343" s="210"/>
      <c r="F343" s="12"/>
      <c r="G343" s="12"/>
      <c r="H343" s="210"/>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row>
    <row r="344" spans="2:107" hidden="1" x14ac:dyDescent="0.25">
      <c r="B344" s="12"/>
      <c r="C344" s="12"/>
      <c r="D344" s="12"/>
      <c r="E344" s="210"/>
      <c r="F344" s="12"/>
      <c r="G344" s="12"/>
      <c r="H344" s="210"/>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row>
    <row r="345" spans="2:107" hidden="1" x14ac:dyDescent="0.25">
      <c r="B345" s="12"/>
      <c r="C345" s="12"/>
      <c r="D345" s="12"/>
      <c r="E345" s="210"/>
      <c r="F345" s="12"/>
      <c r="G345" s="12"/>
      <c r="H345" s="210"/>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row>
    <row r="346" spans="2:107" hidden="1" x14ac:dyDescent="0.25">
      <c r="B346" s="12"/>
      <c r="C346" s="12"/>
      <c r="D346" s="12"/>
      <c r="E346" s="210"/>
      <c r="F346" s="12"/>
      <c r="G346" s="12"/>
      <c r="H346" s="210"/>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row>
    <row r="347" spans="2:107" hidden="1" x14ac:dyDescent="0.25">
      <c r="B347" s="12"/>
      <c r="C347" s="12"/>
      <c r="D347" s="12"/>
      <c r="E347" s="210"/>
      <c r="F347" s="12"/>
      <c r="G347" s="12"/>
      <c r="H347" s="210"/>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row>
    <row r="348" spans="2:107" hidden="1" x14ac:dyDescent="0.25">
      <c r="B348" s="12"/>
      <c r="C348" s="12"/>
      <c r="D348" s="12"/>
      <c r="E348" s="210"/>
      <c r="F348" s="12"/>
      <c r="G348" s="12"/>
      <c r="H348" s="210"/>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row>
    <row r="349" spans="2:107" hidden="1" x14ac:dyDescent="0.25">
      <c r="B349" s="12"/>
      <c r="C349" s="12"/>
      <c r="D349" s="12"/>
      <c r="E349" s="210"/>
      <c r="F349" s="12"/>
      <c r="G349" s="12"/>
      <c r="H349" s="210"/>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row>
    <row r="350" spans="2:107" hidden="1" x14ac:dyDescent="0.25">
      <c r="B350" s="12"/>
      <c r="C350" s="12"/>
      <c r="D350" s="12"/>
      <c r="E350" s="210"/>
      <c r="F350" s="12"/>
      <c r="G350" s="12"/>
      <c r="H350" s="210"/>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row>
    <row r="351" spans="2:107" hidden="1" x14ac:dyDescent="0.25">
      <c r="B351" s="12"/>
      <c r="C351" s="12"/>
      <c r="D351" s="12"/>
      <c r="E351" s="210"/>
      <c r="F351" s="12"/>
      <c r="G351" s="12"/>
      <c r="H351" s="210"/>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row>
    <row r="352" spans="2:107" hidden="1" x14ac:dyDescent="0.25">
      <c r="B352" s="12"/>
      <c r="C352" s="12"/>
      <c r="D352" s="12"/>
      <c r="E352" s="210"/>
      <c r="F352" s="12"/>
      <c r="G352" s="12"/>
      <c r="H352" s="210"/>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row>
    <row r="353" spans="2:107" hidden="1" x14ac:dyDescent="0.25">
      <c r="B353" s="12"/>
      <c r="C353" s="12"/>
      <c r="D353" s="12"/>
      <c r="E353" s="210"/>
      <c r="F353" s="12"/>
      <c r="G353" s="12"/>
      <c r="H353" s="210"/>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row>
    <row r="354" spans="2:107" hidden="1" x14ac:dyDescent="0.25">
      <c r="B354" s="12"/>
      <c r="C354" s="12"/>
      <c r="D354" s="12"/>
      <c r="E354" s="210"/>
      <c r="F354" s="12"/>
      <c r="G354" s="12"/>
      <c r="H354" s="210"/>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row>
    <row r="355" spans="2:107" hidden="1" x14ac:dyDescent="0.25">
      <c r="B355" s="12"/>
      <c r="C355" s="12"/>
      <c r="D355" s="12"/>
      <c r="E355" s="210"/>
      <c r="F355" s="12"/>
      <c r="G355" s="12"/>
      <c r="H355" s="210"/>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row>
    <row r="356" spans="2:107" hidden="1" x14ac:dyDescent="0.25">
      <c r="B356" s="12"/>
      <c r="C356" s="12"/>
      <c r="D356" s="12"/>
      <c r="E356" s="210"/>
      <c r="F356" s="12"/>
      <c r="G356" s="12"/>
      <c r="H356" s="210"/>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row>
    <row r="357" spans="2:107" hidden="1" x14ac:dyDescent="0.25">
      <c r="B357" s="12"/>
      <c r="C357" s="12"/>
      <c r="D357" s="12"/>
      <c r="E357" s="210"/>
      <c r="F357" s="12"/>
      <c r="G357" s="12"/>
      <c r="H357" s="210"/>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row>
    <row r="358" spans="2:107" hidden="1" x14ac:dyDescent="0.25">
      <c r="B358" s="12"/>
      <c r="C358" s="12"/>
      <c r="D358" s="12"/>
      <c r="E358" s="210"/>
      <c r="F358" s="12"/>
      <c r="G358" s="12"/>
      <c r="H358" s="210"/>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row>
    <row r="359" spans="2:107" hidden="1" x14ac:dyDescent="0.25">
      <c r="B359" s="12"/>
      <c r="C359" s="12"/>
      <c r="D359" s="12"/>
      <c r="E359" s="210"/>
      <c r="F359" s="12"/>
      <c r="G359" s="12"/>
      <c r="H359" s="210"/>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row>
    <row r="360" spans="2:107" hidden="1" x14ac:dyDescent="0.25">
      <c r="B360" s="12"/>
      <c r="C360" s="12"/>
      <c r="D360" s="12"/>
      <c r="E360" s="210"/>
      <c r="F360" s="12"/>
      <c r="G360" s="12"/>
      <c r="H360" s="210"/>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row>
    <row r="361" spans="2:107" hidden="1" x14ac:dyDescent="0.25">
      <c r="B361" s="12"/>
      <c r="C361" s="12"/>
      <c r="D361" s="12"/>
      <c r="E361" s="210"/>
      <c r="F361" s="12"/>
      <c r="G361" s="12"/>
      <c r="H361" s="210"/>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row>
    <row r="362" spans="2:107" hidden="1" x14ac:dyDescent="0.25">
      <c r="B362" s="12"/>
      <c r="C362" s="12"/>
      <c r="D362" s="12"/>
      <c r="E362" s="210"/>
      <c r="F362" s="12"/>
      <c r="G362" s="12"/>
      <c r="H362" s="210"/>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row>
    <row r="363" spans="2:107" hidden="1" x14ac:dyDescent="0.25">
      <c r="B363" s="12"/>
      <c r="C363" s="12"/>
      <c r="D363" s="12"/>
      <c r="E363" s="210"/>
      <c r="F363" s="12"/>
      <c r="G363" s="12"/>
      <c r="H363" s="210"/>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row>
    <row r="364" spans="2:107" hidden="1" x14ac:dyDescent="0.25">
      <c r="B364" s="12"/>
      <c r="C364" s="12"/>
      <c r="D364" s="12"/>
      <c r="E364" s="210"/>
      <c r="F364" s="12"/>
      <c r="G364" s="12"/>
      <c r="H364" s="210"/>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row>
    <row r="365" spans="2:107" hidden="1" x14ac:dyDescent="0.25">
      <c r="B365" s="12"/>
      <c r="C365" s="12"/>
      <c r="D365" s="12"/>
      <c r="E365" s="210"/>
      <c r="F365" s="12"/>
      <c r="G365" s="12"/>
      <c r="H365" s="210"/>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row>
    <row r="366" spans="2:107" hidden="1" x14ac:dyDescent="0.25">
      <c r="B366" s="12"/>
      <c r="C366" s="12"/>
      <c r="D366" s="12"/>
      <c r="E366" s="210"/>
      <c r="F366" s="12"/>
      <c r="G366" s="12"/>
      <c r="H366" s="210"/>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row>
    <row r="367" spans="2:107" hidden="1" x14ac:dyDescent="0.25">
      <c r="B367" s="12"/>
      <c r="C367" s="12"/>
      <c r="D367" s="12"/>
      <c r="E367" s="210"/>
      <c r="F367" s="12"/>
      <c r="G367" s="12"/>
      <c r="H367" s="210"/>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row>
    <row r="368" spans="2:107" hidden="1" x14ac:dyDescent="0.25">
      <c r="B368" s="12"/>
      <c r="C368" s="12"/>
      <c r="D368" s="12"/>
      <c r="E368" s="210"/>
      <c r="F368" s="12"/>
      <c r="G368" s="12"/>
      <c r="H368" s="210"/>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row>
    <row r="369" spans="2:107" hidden="1" x14ac:dyDescent="0.25">
      <c r="B369" s="12"/>
      <c r="C369" s="12"/>
      <c r="D369" s="12"/>
      <c r="E369" s="210"/>
      <c r="F369" s="12"/>
      <c r="G369" s="12"/>
      <c r="H369" s="210"/>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row>
    <row r="370" spans="2:107" hidden="1" x14ac:dyDescent="0.25">
      <c r="B370" s="12"/>
      <c r="C370" s="12"/>
      <c r="D370" s="12"/>
      <c r="E370" s="210"/>
      <c r="F370" s="12"/>
      <c r="G370" s="12"/>
      <c r="H370" s="210"/>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row>
    <row r="371" spans="2:107" hidden="1" x14ac:dyDescent="0.25">
      <c r="B371" s="12"/>
      <c r="C371" s="12"/>
      <c r="D371" s="12"/>
      <c r="E371" s="210"/>
      <c r="F371" s="12"/>
      <c r="G371" s="12"/>
      <c r="H371" s="210"/>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row>
    <row r="372" spans="2:107" hidden="1" x14ac:dyDescent="0.25">
      <c r="B372" s="12"/>
      <c r="C372" s="12"/>
      <c r="D372" s="12"/>
      <c r="E372" s="210"/>
      <c r="F372" s="12"/>
      <c r="G372" s="12"/>
      <c r="H372" s="210"/>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row>
    <row r="373" spans="2:107" hidden="1" x14ac:dyDescent="0.25">
      <c r="B373" s="12"/>
      <c r="C373" s="12"/>
      <c r="D373" s="12"/>
      <c r="E373" s="210"/>
      <c r="F373" s="12"/>
      <c r="G373" s="12"/>
      <c r="H373" s="210"/>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row>
    <row r="374" spans="2:107" hidden="1" x14ac:dyDescent="0.25">
      <c r="B374" s="12"/>
      <c r="C374" s="12"/>
      <c r="D374" s="12"/>
      <c r="E374" s="210"/>
      <c r="F374" s="12"/>
      <c r="G374" s="12"/>
      <c r="H374" s="210"/>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row>
    <row r="375" spans="2:107" hidden="1" x14ac:dyDescent="0.25">
      <c r="B375" s="12"/>
      <c r="C375" s="12"/>
      <c r="D375" s="12"/>
      <c r="E375" s="210"/>
      <c r="F375" s="12"/>
      <c r="G375" s="12"/>
      <c r="H375" s="210"/>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row>
    <row r="376" spans="2:107" hidden="1" x14ac:dyDescent="0.25">
      <c r="B376" s="12"/>
      <c r="C376" s="12"/>
      <c r="D376" s="12"/>
      <c r="E376" s="210"/>
      <c r="F376" s="12"/>
      <c r="G376" s="12"/>
      <c r="H376" s="210"/>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row>
    <row r="377" spans="2:107" hidden="1" x14ac:dyDescent="0.25">
      <c r="B377" s="12"/>
      <c r="C377" s="12"/>
      <c r="D377" s="12"/>
      <c r="E377" s="210"/>
      <c r="F377" s="12"/>
      <c r="G377" s="12"/>
      <c r="H377" s="210"/>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row>
    <row r="378" spans="2:107" hidden="1" x14ac:dyDescent="0.25">
      <c r="B378" s="12"/>
      <c r="C378" s="12"/>
      <c r="D378" s="12"/>
      <c r="E378" s="210"/>
      <c r="F378" s="12"/>
      <c r="G378" s="12"/>
      <c r="H378" s="210"/>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row>
    <row r="379" spans="2:107" hidden="1" x14ac:dyDescent="0.25">
      <c r="B379" s="12"/>
      <c r="C379" s="12"/>
      <c r="D379" s="12"/>
      <c r="E379" s="210"/>
      <c r="F379" s="12"/>
      <c r="G379" s="12"/>
      <c r="H379" s="210"/>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row>
    <row r="380" spans="2:107" hidden="1" x14ac:dyDescent="0.25">
      <c r="B380" s="12"/>
      <c r="C380" s="12"/>
      <c r="D380" s="12"/>
      <c r="E380" s="210"/>
      <c r="F380" s="12"/>
      <c r="G380" s="12"/>
      <c r="H380" s="210"/>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row>
    <row r="381" spans="2:107" hidden="1" x14ac:dyDescent="0.25">
      <c r="B381" s="12"/>
      <c r="C381" s="12"/>
      <c r="D381" s="12"/>
      <c r="E381" s="210"/>
      <c r="F381" s="12"/>
      <c r="G381" s="12"/>
      <c r="H381" s="210"/>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row>
    <row r="382" spans="2:107" hidden="1" x14ac:dyDescent="0.25">
      <c r="B382" s="12"/>
      <c r="C382" s="12"/>
      <c r="D382" s="12"/>
      <c r="E382" s="210"/>
      <c r="F382" s="12"/>
      <c r="G382" s="12"/>
      <c r="H382" s="210"/>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row>
    <row r="383" spans="2:107" hidden="1" x14ac:dyDescent="0.25">
      <c r="B383" s="12"/>
      <c r="C383" s="12"/>
      <c r="D383" s="12"/>
      <c r="E383" s="210"/>
      <c r="F383" s="12"/>
      <c r="G383" s="12"/>
      <c r="H383" s="210"/>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row>
    <row r="384" spans="2:107" hidden="1" x14ac:dyDescent="0.25">
      <c r="B384" s="12"/>
      <c r="C384" s="12"/>
      <c r="D384" s="12"/>
      <c r="E384" s="210"/>
      <c r="F384" s="12"/>
      <c r="G384" s="12"/>
      <c r="H384" s="210"/>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row>
    <row r="385" spans="2:107" hidden="1" x14ac:dyDescent="0.25">
      <c r="B385" s="12"/>
      <c r="C385" s="12"/>
      <c r="D385" s="12"/>
      <c r="E385" s="210"/>
      <c r="F385" s="12"/>
      <c r="G385" s="12"/>
      <c r="H385" s="210"/>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row>
    <row r="386" spans="2:107" hidden="1" x14ac:dyDescent="0.25">
      <c r="B386" s="12"/>
      <c r="C386" s="12"/>
      <c r="D386" s="12"/>
      <c r="E386" s="210"/>
      <c r="F386" s="12"/>
      <c r="G386" s="12"/>
      <c r="H386" s="210"/>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row>
    <row r="387" spans="2:107" hidden="1" x14ac:dyDescent="0.25">
      <c r="B387" s="12"/>
      <c r="C387" s="12"/>
      <c r="D387" s="12"/>
      <c r="E387" s="210"/>
      <c r="F387" s="12"/>
      <c r="G387" s="12"/>
      <c r="H387" s="210"/>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row>
    <row r="388" spans="2:107" hidden="1" x14ac:dyDescent="0.25">
      <c r="B388" s="12"/>
      <c r="C388" s="12"/>
      <c r="D388" s="12"/>
      <c r="E388" s="210"/>
      <c r="F388" s="12"/>
      <c r="G388" s="12"/>
      <c r="H388" s="210"/>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row>
    <row r="389" spans="2:107" hidden="1" x14ac:dyDescent="0.25">
      <c r="B389" s="12"/>
      <c r="C389" s="12"/>
      <c r="D389" s="12"/>
      <c r="E389" s="210"/>
      <c r="F389" s="12"/>
      <c r="G389" s="12"/>
      <c r="H389" s="210"/>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row>
    <row r="390" spans="2:107" hidden="1" x14ac:dyDescent="0.25">
      <c r="B390" s="12"/>
      <c r="C390" s="12"/>
      <c r="D390" s="12"/>
      <c r="E390" s="210"/>
      <c r="F390" s="12"/>
      <c r="G390" s="12"/>
      <c r="H390" s="210"/>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row>
    <row r="391" spans="2:107" hidden="1" x14ac:dyDescent="0.25">
      <c r="B391" s="12"/>
      <c r="C391" s="12"/>
      <c r="D391" s="12"/>
      <c r="E391" s="210"/>
      <c r="F391" s="12"/>
      <c r="G391" s="12"/>
      <c r="H391" s="210"/>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row>
    <row r="392" spans="2:107" hidden="1" x14ac:dyDescent="0.25">
      <c r="B392" s="12"/>
      <c r="C392" s="12"/>
      <c r="D392" s="12"/>
      <c r="E392" s="210"/>
      <c r="F392" s="12"/>
      <c r="G392" s="12"/>
      <c r="H392" s="210"/>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row>
    <row r="393" spans="2:107" hidden="1" x14ac:dyDescent="0.25">
      <c r="B393" s="12"/>
      <c r="C393" s="12"/>
      <c r="D393" s="12"/>
      <c r="E393" s="210"/>
      <c r="F393" s="12"/>
      <c r="G393" s="12"/>
      <c r="H393" s="210"/>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row>
    <row r="394" spans="2:107" hidden="1" x14ac:dyDescent="0.25">
      <c r="B394" s="12"/>
      <c r="C394" s="12"/>
      <c r="D394" s="12"/>
      <c r="E394" s="210"/>
      <c r="F394" s="12"/>
      <c r="G394" s="12"/>
      <c r="H394" s="210"/>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row>
    <row r="395" spans="2:107" hidden="1" x14ac:dyDescent="0.25">
      <c r="B395" s="12"/>
      <c r="C395" s="12"/>
      <c r="D395" s="12"/>
      <c r="E395" s="210"/>
      <c r="F395" s="12"/>
      <c r="G395" s="12"/>
      <c r="H395" s="210"/>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row>
    <row r="396" spans="2:107" hidden="1" x14ac:dyDescent="0.25">
      <c r="B396" s="12"/>
      <c r="C396" s="12"/>
      <c r="D396" s="12"/>
      <c r="E396" s="210"/>
      <c r="F396" s="12"/>
      <c r="G396" s="12"/>
      <c r="H396" s="210"/>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row>
    <row r="397" spans="2:107" hidden="1" x14ac:dyDescent="0.25">
      <c r="B397" s="12"/>
      <c r="C397" s="12"/>
      <c r="D397" s="12"/>
      <c r="E397" s="210"/>
      <c r="F397" s="12"/>
      <c r="G397" s="12"/>
      <c r="H397" s="210"/>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row>
    <row r="398" spans="2:107" hidden="1" x14ac:dyDescent="0.25">
      <c r="B398" s="12"/>
      <c r="C398" s="12"/>
      <c r="D398" s="12"/>
      <c r="E398" s="210"/>
      <c r="F398" s="12"/>
      <c r="G398" s="12"/>
      <c r="H398" s="210"/>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row>
    <row r="399" spans="2:107" hidden="1" x14ac:dyDescent="0.25">
      <c r="B399" s="12"/>
      <c r="C399" s="12"/>
      <c r="D399" s="12"/>
      <c r="E399" s="210"/>
      <c r="F399" s="12"/>
      <c r="G399" s="12"/>
      <c r="H399" s="210"/>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row>
    <row r="400" spans="2:107" hidden="1" x14ac:dyDescent="0.25">
      <c r="B400" s="12"/>
      <c r="C400" s="12"/>
      <c r="D400" s="12"/>
      <c r="E400" s="210"/>
      <c r="F400" s="12"/>
      <c r="G400" s="12"/>
      <c r="H400" s="210"/>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row>
    <row r="401" spans="2:107" hidden="1" x14ac:dyDescent="0.25">
      <c r="B401" s="12"/>
      <c r="C401" s="12"/>
      <c r="D401" s="12"/>
      <c r="E401" s="210"/>
      <c r="F401" s="12"/>
      <c r="G401" s="12"/>
      <c r="H401" s="210"/>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row>
    <row r="402" spans="2:107" hidden="1" x14ac:dyDescent="0.25">
      <c r="B402" s="12"/>
      <c r="C402" s="12"/>
      <c r="D402" s="12"/>
      <c r="E402" s="210"/>
      <c r="F402" s="12"/>
      <c r="G402" s="12"/>
      <c r="H402" s="210"/>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row>
    <row r="403" spans="2:107" hidden="1" x14ac:dyDescent="0.25">
      <c r="B403" s="12"/>
      <c r="C403" s="12"/>
      <c r="D403" s="12"/>
      <c r="E403" s="210"/>
      <c r="F403" s="12"/>
      <c r="G403" s="12"/>
      <c r="H403" s="210"/>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row>
    <row r="404" spans="2:107" hidden="1" x14ac:dyDescent="0.25">
      <c r="B404" s="12"/>
      <c r="C404" s="12"/>
      <c r="D404" s="12"/>
      <c r="E404" s="210"/>
      <c r="F404" s="12"/>
      <c r="G404" s="12"/>
      <c r="H404" s="210"/>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row>
    <row r="405" spans="2:107" hidden="1" x14ac:dyDescent="0.25">
      <c r="B405" s="12"/>
      <c r="C405" s="12"/>
      <c r="D405" s="12"/>
      <c r="E405" s="210"/>
      <c r="F405" s="12"/>
      <c r="G405" s="12"/>
      <c r="H405" s="210"/>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row>
    <row r="406" spans="2:107" hidden="1" x14ac:dyDescent="0.25">
      <c r="B406" s="12"/>
      <c r="C406" s="12"/>
      <c r="D406" s="12"/>
      <c r="E406" s="210"/>
      <c r="F406" s="12"/>
      <c r="G406" s="12"/>
      <c r="H406" s="210"/>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row>
    <row r="407" spans="2:107" hidden="1" x14ac:dyDescent="0.25">
      <c r="B407" s="12"/>
      <c r="C407" s="12"/>
      <c r="D407" s="12"/>
      <c r="E407" s="210"/>
      <c r="F407" s="12"/>
      <c r="G407" s="12"/>
      <c r="H407" s="210"/>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row>
    <row r="408" spans="2:107" hidden="1" x14ac:dyDescent="0.25">
      <c r="B408" s="12"/>
      <c r="C408" s="12"/>
      <c r="D408" s="12"/>
      <c r="E408" s="210"/>
      <c r="F408" s="12"/>
      <c r="G408" s="12"/>
      <c r="H408" s="210"/>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row>
    <row r="409" spans="2:107" hidden="1" x14ac:dyDescent="0.25">
      <c r="B409" s="12"/>
      <c r="C409" s="12"/>
      <c r="D409" s="12"/>
      <c r="E409" s="210"/>
      <c r="F409" s="12"/>
      <c r="G409" s="12"/>
      <c r="H409" s="210"/>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row>
    <row r="410" spans="2:107" hidden="1" x14ac:dyDescent="0.25">
      <c r="B410" s="12"/>
      <c r="C410" s="12"/>
      <c r="D410" s="12"/>
      <c r="E410" s="210"/>
      <c r="F410" s="12"/>
      <c r="G410" s="12"/>
      <c r="H410" s="210"/>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row>
    <row r="411" spans="2:107" hidden="1" x14ac:dyDescent="0.25">
      <c r="B411" s="12"/>
      <c r="C411" s="12"/>
      <c r="D411" s="12"/>
      <c r="E411" s="210"/>
      <c r="F411" s="12"/>
      <c r="G411" s="12"/>
      <c r="H411" s="210"/>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row>
    <row r="412" spans="2:107" hidden="1" x14ac:dyDescent="0.25">
      <c r="B412" s="12"/>
      <c r="C412" s="12"/>
      <c r="D412" s="12"/>
      <c r="E412" s="210"/>
      <c r="F412" s="12"/>
      <c r="G412" s="12"/>
      <c r="H412" s="210"/>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row>
    <row r="413" spans="2:107" hidden="1" x14ac:dyDescent="0.25">
      <c r="B413" s="12"/>
      <c r="C413" s="12"/>
      <c r="D413" s="12"/>
      <c r="E413" s="210"/>
      <c r="F413" s="12"/>
      <c r="G413" s="12"/>
      <c r="H413" s="210"/>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row>
    <row r="414" spans="2:107" hidden="1" x14ac:dyDescent="0.25">
      <c r="B414" s="12"/>
      <c r="C414" s="12"/>
      <c r="D414" s="12"/>
      <c r="E414" s="210"/>
      <c r="F414" s="12"/>
      <c r="G414" s="12"/>
      <c r="H414" s="210"/>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row>
    <row r="415" spans="2:107" hidden="1" x14ac:dyDescent="0.25">
      <c r="B415" s="12"/>
      <c r="C415" s="12"/>
      <c r="D415" s="12"/>
      <c r="E415" s="210"/>
      <c r="F415" s="12"/>
      <c r="G415" s="12"/>
      <c r="H415" s="210"/>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row>
    <row r="416" spans="2:107" hidden="1" x14ac:dyDescent="0.25">
      <c r="B416" s="12"/>
      <c r="C416" s="12"/>
      <c r="D416" s="12"/>
      <c r="E416" s="210"/>
      <c r="F416" s="12"/>
      <c r="G416" s="12"/>
      <c r="H416" s="210"/>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row>
    <row r="417" spans="2:107" hidden="1" x14ac:dyDescent="0.25">
      <c r="B417" s="12"/>
      <c r="C417" s="12"/>
      <c r="D417" s="12"/>
      <c r="E417" s="210"/>
      <c r="F417" s="12"/>
      <c r="G417" s="12"/>
      <c r="H417" s="210"/>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row>
    <row r="418" spans="2:107" hidden="1" x14ac:dyDescent="0.25">
      <c r="B418" s="12"/>
      <c r="C418" s="12"/>
      <c r="D418" s="12"/>
      <c r="E418" s="210"/>
      <c r="F418" s="12"/>
      <c r="G418" s="12"/>
      <c r="H418" s="210"/>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row>
    <row r="419" spans="2:107" hidden="1" x14ac:dyDescent="0.25">
      <c r="B419" s="12"/>
      <c r="C419" s="12"/>
      <c r="D419" s="12"/>
      <c r="E419" s="210"/>
      <c r="F419" s="12"/>
      <c r="G419" s="12"/>
      <c r="H419" s="210"/>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row>
    <row r="420" spans="2:107" hidden="1" x14ac:dyDescent="0.25">
      <c r="B420" s="12"/>
      <c r="C420" s="12"/>
      <c r="D420" s="12"/>
      <c r="E420" s="210"/>
      <c r="F420" s="12"/>
      <c r="G420" s="12"/>
      <c r="H420" s="210"/>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row>
    <row r="421" spans="2:107" hidden="1" x14ac:dyDescent="0.25">
      <c r="B421" s="12"/>
      <c r="C421" s="12"/>
      <c r="D421" s="12"/>
      <c r="E421" s="210"/>
      <c r="F421" s="12"/>
      <c r="G421" s="12"/>
      <c r="H421" s="210"/>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row>
    <row r="422" spans="2:107" hidden="1" x14ac:dyDescent="0.25">
      <c r="B422" s="12"/>
      <c r="C422" s="12"/>
      <c r="D422" s="12"/>
      <c r="E422" s="210"/>
      <c r="F422" s="12"/>
      <c r="G422" s="12"/>
      <c r="H422" s="210"/>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row>
    <row r="423" spans="2:107" hidden="1" x14ac:dyDescent="0.25">
      <c r="B423" s="12"/>
      <c r="C423" s="12"/>
      <c r="D423" s="12"/>
      <c r="E423" s="210"/>
      <c r="F423" s="12"/>
      <c r="G423" s="12"/>
      <c r="H423" s="210"/>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row>
    <row r="424" spans="2:107" hidden="1" x14ac:dyDescent="0.25">
      <c r="B424" s="12"/>
      <c r="C424" s="12"/>
      <c r="D424" s="12"/>
      <c r="E424" s="210"/>
      <c r="F424" s="12"/>
      <c r="G424" s="12"/>
      <c r="H424" s="210"/>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row>
    <row r="425" spans="2:107" hidden="1" x14ac:dyDescent="0.25">
      <c r="B425" s="12"/>
      <c r="C425" s="12"/>
      <c r="D425" s="12"/>
      <c r="E425" s="210"/>
      <c r="F425" s="12"/>
      <c r="G425" s="12"/>
      <c r="H425" s="210"/>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row>
    <row r="426" spans="2:107" hidden="1" x14ac:dyDescent="0.25">
      <c r="B426" s="12"/>
      <c r="C426" s="12"/>
      <c r="D426" s="12"/>
      <c r="E426" s="210"/>
      <c r="F426" s="12"/>
      <c r="G426" s="12"/>
      <c r="H426" s="210"/>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row>
    <row r="427" spans="2:107" hidden="1" x14ac:dyDescent="0.25">
      <c r="B427" s="12"/>
      <c r="C427" s="12"/>
      <c r="D427" s="12"/>
      <c r="E427" s="210"/>
      <c r="F427" s="12"/>
      <c r="G427" s="12"/>
      <c r="H427" s="210"/>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row>
    <row r="428" spans="2:107" hidden="1" x14ac:dyDescent="0.25">
      <c r="B428" s="12"/>
      <c r="C428" s="12"/>
      <c r="D428" s="12"/>
      <c r="E428" s="210"/>
      <c r="F428" s="12"/>
      <c r="G428" s="12"/>
      <c r="H428" s="210"/>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row>
    <row r="429" spans="2:107" hidden="1" x14ac:dyDescent="0.25">
      <c r="B429" s="12"/>
      <c r="C429" s="12"/>
      <c r="D429" s="12"/>
      <c r="E429" s="210"/>
      <c r="F429" s="12"/>
      <c r="G429" s="12"/>
      <c r="H429" s="210"/>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row>
    <row r="430" spans="2:107" hidden="1" x14ac:dyDescent="0.25">
      <c r="B430" s="12"/>
      <c r="C430" s="12"/>
      <c r="D430" s="12"/>
      <c r="E430" s="210"/>
      <c r="F430" s="12"/>
      <c r="G430" s="12"/>
      <c r="H430" s="210"/>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row>
    <row r="431" spans="2:107" hidden="1" x14ac:dyDescent="0.25">
      <c r="B431" s="12"/>
      <c r="C431" s="12"/>
      <c r="D431" s="12"/>
      <c r="E431" s="210"/>
      <c r="F431" s="12"/>
      <c r="G431" s="12"/>
      <c r="H431" s="210"/>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row>
    <row r="432" spans="2:107" hidden="1" x14ac:dyDescent="0.25">
      <c r="B432" s="12"/>
      <c r="C432" s="12"/>
      <c r="D432" s="12"/>
      <c r="E432" s="210"/>
      <c r="F432" s="12"/>
      <c r="G432" s="12"/>
      <c r="H432" s="210"/>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row>
    <row r="433" spans="2:107" hidden="1" x14ac:dyDescent="0.25">
      <c r="B433" s="12"/>
      <c r="C433" s="12"/>
      <c r="D433" s="12"/>
      <c r="E433" s="210"/>
      <c r="F433" s="12"/>
      <c r="G433" s="12"/>
      <c r="H433" s="210"/>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row>
    <row r="434" spans="2:107" hidden="1" x14ac:dyDescent="0.25">
      <c r="B434" s="12"/>
      <c r="C434" s="12"/>
      <c r="D434" s="12"/>
      <c r="E434" s="210"/>
      <c r="F434" s="12"/>
      <c r="G434" s="12"/>
      <c r="H434" s="210"/>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row>
    <row r="435" spans="2:107" hidden="1" x14ac:dyDescent="0.25">
      <c r="B435" s="12"/>
      <c r="C435" s="12"/>
      <c r="D435" s="12"/>
      <c r="E435" s="210"/>
      <c r="F435" s="12"/>
      <c r="G435" s="12"/>
      <c r="H435" s="210"/>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row>
    <row r="436" spans="2:107" hidden="1" x14ac:dyDescent="0.25">
      <c r="B436" s="12"/>
      <c r="C436" s="12"/>
      <c r="D436" s="12"/>
      <c r="E436" s="210"/>
      <c r="F436" s="12"/>
      <c r="G436" s="12"/>
      <c r="H436" s="210"/>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row>
    <row r="437" spans="2:107" hidden="1" x14ac:dyDescent="0.25">
      <c r="B437" s="12"/>
      <c r="C437" s="12"/>
      <c r="D437" s="12"/>
      <c r="E437" s="210"/>
      <c r="F437" s="12"/>
      <c r="G437" s="12"/>
      <c r="H437" s="210"/>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row>
    <row r="438" spans="2:107" hidden="1" x14ac:dyDescent="0.25">
      <c r="B438" s="12"/>
      <c r="C438" s="12"/>
      <c r="D438" s="12"/>
      <c r="E438" s="210"/>
      <c r="F438" s="12"/>
      <c r="G438" s="12"/>
      <c r="H438" s="210"/>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row>
    <row r="439" spans="2:107" hidden="1" x14ac:dyDescent="0.25">
      <c r="B439" s="12"/>
      <c r="C439" s="12"/>
      <c r="D439" s="12"/>
      <c r="E439" s="210"/>
      <c r="F439" s="12"/>
      <c r="G439" s="12"/>
      <c r="H439" s="210"/>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row>
    <row r="440" spans="2:107" hidden="1" x14ac:dyDescent="0.25">
      <c r="B440" s="12"/>
      <c r="C440" s="12"/>
      <c r="D440" s="12"/>
      <c r="E440" s="210"/>
      <c r="F440" s="12"/>
      <c r="G440" s="12"/>
      <c r="H440" s="210"/>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row>
    <row r="441" spans="2:107" hidden="1" x14ac:dyDescent="0.25">
      <c r="B441" s="12"/>
      <c r="C441" s="12"/>
      <c r="D441" s="12"/>
      <c r="E441" s="210"/>
      <c r="F441" s="12"/>
      <c r="G441" s="12"/>
      <c r="H441" s="210"/>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row>
    <row r="442" spans="2:107" hidden="1" x14ac:dyDescent="0.25">
      <c r="B442" s="12"/>
      <c r="C442" s="12"/>
      <c r="D442" s="12"/>
      <c r="E442" s="210"/>
      <c r="F442" s="12"/>
      <c r="G442" s="12"/>
      <c r="H442" s="210"/>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row>
    <row r="443" spans="2:107" hidden="1" x14ac:dyDescent="0.25">
      <c r="B443" s="12"/>
      <c r="C443" s="12"/>
      <c r="D443" s="12"/>
      <c r="E443" s="210"/>
      <c r="F443" s="12"/>
      <c r="G443" s="12"/>
      <c r="H443" s="210"/>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row>
    <row r="444" spans="2:107" hidden="1" x14ac:dyDescent="0.25">
      <c r="B444" s="12"/>
      <c r="C444" s="12"/>
      <c r="D444" s="12"/>
      <c r="E444" s="210"/>
      <c r="F444" s="12"/>
      <c r="G444" s="12"/>
      <c r="H444" s="210"/>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row>
    <row r="445" spans="2:107" hidden="1" x14ac:dyDescent="0.25">
      <c r="B445" s="12"/>
      <c r="C445" s="12"/>
      <c r="D445" s="12"/>
      <c r="E445" s="210"/>
      <c r="F445" s="12"/>
      <c r="G445" s="12"/>
      <c r="H445" s="210"/>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row>
    <row r="446" spans="2:107" hidden="1" x14ac:dyDescent="0.25">
      <c r="B446" s="12"/>
      <c r="C446" s="12"/>
      <c r="D446" s="12"/>
      <c r="E446" s="210"/>
      <c r="F446" s="12"/>
      <c r="G446" s="12"/>
      <c r="H446" s="210"/>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row>
    <row r="447" spans="2:107" hidden="1" x14ac:dyDescent="0.25">
      <c r="B447" s="12"/>
      <c r="C447" s="12"/>
      <c r="D447" s="12"/>
      <c r="E447" s="210"/>
      <c r="F447" s="12"/>
      <c r="G447" s="12"/>
      <c r="H447" s="210"/>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row>
    <row r="448" spans="2:107" hidden="1" x14ac:dyDescent="0.25">
      <c r="B448" s="12"/>
      <c r="C448" s="12"/>
      <c r="D448" s="12"/>
      <c r="E448" s="210"/>
      <c r="F448" s="12"/>
      <c r="G448" s="12"/>
      <c r="H448" s="210"/>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row>
    <row r="449" spans="2:107" hidden="1" x14ac:dyDescent="0.25">
      <c r="B449" s="12"/>
      <c r="C449" s="12"/>
      <c r="D449" s="12"/>
      <c r="E449" s="210"/>
      <c r="F449" s="12"/>
      <c r="G449" s="12"/>
      <c r="H449" s="210"/>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row>
    <row r="450" spans="2:107" hidden="1" x14ac:dyDescent="0.25">
      <c r="B450" s="12"/>
      <c r="C450" s="12"/>
      <c r="D450" s="12"/>
      <c r="E450" s="210"/>
      <c r="F450" s="12"/>
      <c r="G450" s="12"/>
      <c r="H450" s="210"/>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row>
    <row r="451" spans="2:107" hidden="1" x14ac:dyDescent="0.25">
      <c r="B451" s="12"/>
      <c r="C451" s="12"/>
      <c r="D451" s="12"/>
      <c r="E451" s="210"/>
      <c r="F451" s="12"/>
      <c r="G451" s="12"/>
      <c r="H451" s="210"/>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row>
    <row r="452" spans="2:107" hidden="1" x14ac:dyDescent="0.25">
      <c r="B452" s="12"/>
      <c r="C452" s="12"/>
      <c r="D452" s="12"/>
      <c r="E452" s="210"/>
      <c r="F452" s="12"/>
      <c r="G452" s="12"/>
      <c r="H452" s="210"/>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row>
    <row r="453" spans="2:107" hidden="1" x14ac:dyDescent="0.25">
      <c r="B453" s="12"/>
      <c r="C453" s="12"/>
      <c r="D453" s="12"/>
      <c r="E453" s="210"/>
      <c r="F453" s="12"/>
      <c r="G453" s="12"/>
      <c r="H453" s="210"/>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row>
    <row r="454" spans="2:107" hidden="1" x14ac:dyDescent="0.25">
      <c r="B454" s="12"/>
      <c r="C454" s="12"/>
      <c r="D454" s="12"/>
      <c r="E454" s="210"/>
      <c r="F454" s="12"/>
      <c r="G454" s="12"/>
      <c r="H454" s="210"/>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row>
    <row r="455" spans="2:107" hidden="1" x14ac:dyDescent="0.25">
      <c r="B455" s="12"/>
      <c r="C455" s="12"/>
      <c r="D455" s="12"/>
      <c r="E455" s="210"/>
      <c r="F455" s="12"/>
      <c r="G455" s="12"/>
      <c r="H455" s="210"/>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row>
    <row r="456" spans="2:107" hidden="1" x14ac:dyDescent="0.25">
      <c r="B456" s="12"/>
      <c r="C456" s="12"/>
      <c r="D456" s="12"/>
      <c r="E456" s="210"/>
      <c r="F456" s="12"/>
      <c r="G456" s="12"/>
      <c r="H456" s="210"/>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row>
    <row r="457" spans="2:107" hidden="1" x14ac:dyDescent="0.25">
      <c r="B457" s="12"/>
      <c r="C457" s="12"/>
      <c r="D457" s="12"/>
      <c r="E457" s="210"/>
      <c r="F457" s="12"/>
      <c r="G457" s="12"/>
      <c r="H457" s="210"/>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row>
    <row r="458" spans="2:107" hidden="1" x14ac:dyDescent="0.25">
      <c r="B458" s="12"/>
      <c r="C458" s="12"/>
      <c r="D458" s="12"/>
      <c r="E458" s="210"/>
      <c r="F458" s="12"/>
      <c r="G458" s="12"/>
      <c r="H458" s="210"/>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row>
    <row r="459" spans="2:107" hidden="1" x14ac:dyDescent="0.25">
      <c r="B459" s="12"/>
      <c r="C459" s="12"/>
      <c r="D459" s="12"/>
      <c r="E459" s="210"/>
      <c r="F459" s="12"/>
      <c r="G459" s="12"/>
      <c r="H459" s="210"/>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row>
    <row r="460" spans="2:107" hidden="1" x14ac:dyDescent="0.25">
      <c r="B460" s="12"/>
      <c r="C460" s="12"/>
      <c r="D460" s="12"/>
      <c r="E460" s="210"/>
      <c r="F460" s="12"/>
      <c r="G460" s="12"/>
      <c r="H460" s="210"/>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row>
    <row r="461" spans="2:107" hidden="1" x14ac:dyDescent="0.25">
      <c r="B461" s="12"/>
      <c r="C461" s="12"/>
      <c r="D461" s="12"/>
      <c r="E461" s="210"/>
      <c r="F461" s="12"/>
      <c r="G461" s="12"/>
      <c r="H461" s="210"/>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row>
    <row r="462" spans="2:107" hidden="1" x14ac:dyDescent="0.25">
      <c r="B462" s="12"/>
      <c r="C462" s="12"/>
      <c r="D462" s="12"/>
      <c r="E462" s="210"/>
      <c r="F462" s="12"/>
      <c r="G462" s="12"/>
      <c r="H462" s="210"/>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row>
    <row r="463" spans="2:107" hidden="1" x14ac:dyDescent="0.25">
      <c r="B463" s="12"/>
      <c r="C463" s="12"/>
      <c r="D463" s="12"/>
      <c r="E463" s="210"/>
      <c r="F463" s="12"/>
      <c r="G463" s="12"/>
      <c r="H463" s="210"/>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row>
    <row r="464" spans="2:107" hidden="1" x14ac:dyDescent="0.25">
      <c r="B464" s="12"/>
      <c r="C464" s="12"/>
      <c r="D464" s="12"/>
      <c r="E464" s="210"/>
      <c r="F464" s="12"/>
      <c r="G464" s="12"/>
      <c r="H464" s="210"/>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row>
    <row r="465" spans="2:107" hidden="1" x14ac:dyDescent="0.25">
      <c r="B465" s="12"/>
      <c r="C465" s="12"/>
      <c r="D465" s="12"/>
      <c r="E465" s="210"/>
      <c r="F465" s="12"/>
      <c r="G465" s="12"/>
      <c r="H465" s="210"/>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row>
    <row r="466" spans="2:107" hidden="1" x14ac:dyDescent="0.25">
      <c r="B466" s="12"/>
      <c r="C466" s="12"/>
      <c r="D466" s="12"/>
      <c r="E466" s="210"/>
      <c r="F466" s="12"/>
      <c r="G466" s="12"/>
      <c r="H466" s="210"/>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row>
    <row r="467" spans="2:107" hidden="1" x14ac:dyDescent="0.25">
      <c r="B467" s="12"/>
      <c r="C467" s="12"/>
      <c r="D467" s="12"/>
      <c r="E467" s="210"/>
      <c r="F467" s="12"/>
      <c r="G467" s="12"/>
      <c r="H467" s="210"/>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row>
    <row r="468" spans="2:107" hidden="1" x14ac:dyDescent="0.25">
      <c r="B468" s="12"/>
      <c r="C468" s="12"/>
      <c r="D468" s="12"/>
      <c r="E468" s="210"/>
      <c r="F468" s="12"/>
      <c r="G468" s="12"/>
      <c r="H468" s="210"/>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row>
    <row r="469" spans="2:107" hidden="1" x14ac:dyDescent="0.25">
      <c r="B469" s="12"/>
      <c r="C469" s="12"/>
      <c r="D469" s="12"/>
      <c r="E469" s="210"/>
      <c r="F469" s="12"/>
      <c r="G469" s="12"/>
      <c r="H469" s="210"/>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row>
    <row r="470" spans="2:107" hidden="1" x14ac:dyDescent="0.25">
      <c r="B470" s="12"/>
      <c r="C470" s="12"/>
      <c r="D470" s="12"/>
      <c r="E470" s="210"/>
      <c r="F470" s="12"/>
      <c r="G470" s="12"/>
      <c r="H470" s="210"/>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row>
    <row r="471" spans="2:107" hidden="1" x14ac:dyDescent="0.25">
      <c r="B471" s="12"/>
      <c r="C471" s="12"/>
      <c r="D471" s="12"/>
      <c r="E471" s="210"/>
      <c r="F471" s="12"/>
      <c r="G471" s="12"/>
      <c r="H471" s="210"/>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row>
    <row r="472" spans="2:107" hidden="1" x14ac:dyDescent="0.25">
      <c r="B472" s="12"/>
      <c r="C472" s="12"/>
      <c r="D472" s="12"/>
      <c r="E472" s="210"/>
      <c r="F472" s="12"/>
      <c r="G472" s="12"/>
      <c r="H472" s="210"/>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row>
    <row r="473" spans="2:107" hidden="1" x14ac:dyDescent="0.25">
      <c r="B473" s="12"/>
      <c r="C473" s="12"/>
      <c r="D473" s="12"/>
      <c r="E473" s="210"/>
      <c r="F473" s="12"/>
      <c r="G473" s="12"/>
      <c r="H473" s="210"/>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row>
    <row r="474" spans="2:107" hidden="1" x14ac:dyDescent="0.25">
      <c r="B474" s="12"/>
      <c r="C474" s="12"/>
      <c r="D474" s="12"/>
      <c r="E474" s="210"/>
      <c r="F474" s="12"/>
      <c r="G474" s="12"/>
      <c r="H474" s="210"/>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row>
    <row r="475" spans="2:107" hidden="1" x14ac:dyDescent="0.25">
      <c r="B475" s="12"/>
      <c r="C475" s="12"/>
      <c r="D475" s="12"/>
      <c r="E475" s="210"/>
      <c r="F475" s="12"/>
      <c r="G475" s="12"/>
      <c r="H475" s="210"/>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row>
    <row r="476" spans="2:107" hidden="1" x14ac:dyDescent="0.25">
      <c r="B476" s="12"/>
      <c r="C476" s="12"/>
      <c r="D476" s="12"/>
      <c r="E476" s="210"/>
      <c r="F476" s="12"/>
      <c r="G476" s="12"/>
      <c r="H476" s="210"/>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row>
    <row r="477" spans="2:107" hidden="1" x14ac:dyDescent="0.25">
      <c r="B477" s="12"/>
      <c r="C477" s="12"/>
      <c r="D477" s="12"/>
      <c r="E477" s="210"/>
      <c r="F477" s="12"/>
      <c r="G477" s="12"/>
      <c r="H477" s="210"/>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row>
    <row r="478" spans="2:107" hidden="1" x14ac:dyDescent="0.25">
      <c r="B478" s="12"/>
      <c r="C478" s="12"/>
      <c r="D478" s="12"/>
      <c r="E478" s="210"/>
      <c r="F478" s="12"/>
      <c r="G478" s="12"/>
      <c r="H478" s="210"/>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row>
    <row r="479" spans="2:107" hidden="1" x14ac:dyDescent="0.25">
      <c r="B479" s="12"/>
      <c r="C479" s="12"/>
      <c r="D479" s="12"/>
      <c r="E479" s="210"/>
      <c r="F479" s="12"/>
      <c r="G479" s="12"/>
      <c r="H479" s="210"/>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row>
    <row r="480" spans="2:107" hidden="1" x14ac:dyDescent="0.25">
      <c r="B480" s="12"/>
      <c r="C480" s="12"/>
      <c r="D480" s="12"/>
      <c r="E480" s="210"/>
      <c r="F480" s="12"/>
      <c r="G480" s="12"/>
      <c r="H480" s="210"/>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row>
    <row r="481" spans="2:107" hidden="1" x14ac:dyDescent="0.25">
      <c r="B481" s="12"/>
      <c r="C481" s="12"/>
      <c r="D481" s="12"/>
      <c r="E481" s="210"/>
      <c r="F481" s="12"/>
      <c r="G481" s="12"/>
      <c r="H481" s="210"/>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row>
    <row r="482" spans="2:107" hidden="1" x14ac:dyDescent="0.25">
      <c r="B482" s="12"/>
      <c r="C482" s="12"/>
      <c r="D482" s="12"/>
      <c r="E482" s="210"/>
      <c r="F482" s="12"/>
      <c r="G482" s="12"/>
      <c r="H482" s="210"/>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row>
    <row r="483" spans="2:107" hidden="1" x14ac:dyDescent="0.25">
      <c r="B483" s="12"/>
      <c r="C483" s="12"/>
      <c r="D483" s="12"/>
      <c r="E483" s="210"/>
      <c r="F483" s="12"/>
      <c r="G483" s="12"/>
      <c r="H483" s="210"/>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row>
    <row r="484" spans="2:107" hidden="1" x14ac:dyDescent="0.25">
      <c r="B484" s="12"/>
      <c r="C484" s="12"/>
      <c r="D484" s="12"/>
      <c r="E484" s="210"/>
      <c r="F484" s="12"/>
      <c r="G484" s="12"/>
      <c r="H484" s="210"/>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row>
    <row r="485" spans="2:107" hidden="1" x14ac:dyDescent="0.25">
      <c r="B485" s="12"/>
      <c r="C485" s="12"/>
      <c r="D485" s="12"/>
      <c r="E485" s="210"/>
      <c r="F485" s="12"/>
      <c r="G485" s="12"/>
      <c r="H485" s="210"/>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row>
    <row r="486" spans="2:107" hidden="1" x14ac:dyDescent="0.25">
      <c r="B486" s="12"/>
      <c r="C486" s="12"/>
      <c r="D486" s="12"/>
      <c r="E486" s="210"/>
      <c r="F486" s="12"/>
      <c r="G486" s="12"/>
      <c r="H486" s="210"/>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row>
    <row r="487" spans="2:107" hidden="1" x14ac:dyDescent="0.25">
      <c r="B487" s="12"/>
      <c r="C487" s="12"/>
      <c r="D487" s="12"/>
      <c r="E487" s="210"/>
      <c r="F487" s="12"/>
      <c r="G487" s="12"/>
      <c r="H487" s="210"/>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row>
    <row r="488" spans="2:107" hidden="1" x14ac:dyDescent="0.25">
      <c r="B488" s="12"/>
      <c r="C488" s="12"/>
      <c r="D488" s="12"/>
      <c r="E488" s="210"/>
      <c r="F488" s="12"/>
      <c r="G488" s="12"/>
      <c r="H488" s="210"/>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row>
    <row r="489" spans="2:107" hidden="1" x14ac:dyDescent="0.25">
      <c r="B489" s="12"/>
      <c r="C489" s="12"/>
      <c r="D489" s="12"/>
      <c r="E489" s="210"/>
      <c r="F489" s="12"/>
      <c r="G489" s="12"/>
      <c r="H489" s="210"/>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row>
    <row r="490" spans="2:107" hidden="1" x14ac:dyDescent="0.25">
      <c r="B490" s="12"/>
      <c r="C490" s="12"/>
      <c r="D490" s="12"/>
      <c r="E490" s="210"/>
      <c r="F490" s="12"/>
      <c r="G490" s="12"/>
      <c r="H490" s="210"/>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row>
    <row r="491" spans="2:107" hidden="1" x14ac:dyDescent="0.25">
      <c r="B491" s="12"/>
      <c r="C491" s="12"/>
      <c r="D491" s="12"/>
      <c r="E491" s="210"/>
      <c r="F491" s="12"/>
      <c r="G491" s="12"/>
      <c r="H491" s="210"/>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row>
    <row r="492" spans="2:107" hidden="1" x14ac:dyDescent="0.25">
      <c r="B492" s="12"/>
      <c r="C492" s="12"/>
      <c r="D492" s="12"/>
      <c r="E492" s="210"/>
      <c r="F492" s="12"/>
      <c r="G492" s="12"/>
      <c r="H492" s="210"/>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row>
    <row r="493" spans="2:107" hidden="1" x14ac:dyDescent="0.25">
      <c r="B493" s="12"/>
      <c r="C493" s="12"/>
      <c r="D493" s="12"/>
      <c r="E493" s="210"/>
      <c r="F493" s="12"/>
      <c r="G493" s="12"/>
      <c r="H493" s="210"/>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row>
    <row r="494" spans="2:107" hidden="1" x14ac:dyDescent="0.25">
      <c r="B494" s="12"/>
      <c r="C494" s="12"/>
      <c r="D494" s="12"/>
      <c r="E494" s="210"/>
      <c r="F494" s="12"/>
      <c r="G494" s="12"/>
      <c r="H494" s="210"/>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row>
    <row r="495" spans="2:107" hidden="1" x14ac:dyDescent="0.25">
      <c r="B495" s="12"/>
      <c r="C495" s="12"/>
      <c r="D495" s="12"/>
      <c r="E495" s="210"/>
      <c r="F495" s="12"/>
      <c r="G495" s="12"/>
      <c r="H495" s="210"/>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row>
    <row r="496" spans="2:107" hidden="1" x14ac:dyDescent="0.25">
      <c r="B496" s="12"/>
      <c r="C496" s="12"/>
      <c r="D496" s="12"/>
      <c r="E496" s="210"/>
      <c r="F496" s="12"/>
      <c r="G496" s="12"/>
      <c r="H496" s="210"/>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row>
    <row r="497" spans="2:107" hidden="1" x14ac:dyDescent="0.25">
      <c r="B497" s="12"/>
      <c r="C497" s="12"/>
      <c r="D497" s="12"/>
      <c r="E497" s="210"/>
      <c r="F497" s="12"/>
      <c r="G497" s="12"/>
      <c r="H497" s="210"/>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row>
    <row r="498" spans="2:107" hidden="1" x14ac:dyDescent="0.25">
      <c r="B498" s="12"/>
      <c r="C498" s="12"/>
      <c r="D498" s="12"/>
      <c r="E498" s="210"/>
      <c r="F498" s="12"/>
      <c r="G498" s="12"/>
      <c r="H498" s="210"/>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row>
    <row r="499" spans="2:107" hidden="1" x14ac:dyDescent="0.25">
      <c r="B499" s="12"/>
      <c r="C499" s="12"/>
      <c r="D499" s="12"/>
      <c r="E499" s="210"/>
      <c r="F499" s="12"/>
      <c r="G499" s="12"/>
      <c r="H499" s="210"/>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row>
    <row r="500" spans="2:107" hidden="1" x14ac:dyDescent="0.25">
      <c r="B500" s="12"/>
      <c r="C500" s="12"/>
      <c r="D500" s="12"/>
      <c r="E500" s="210"/>
      <c r="F500" s="12"/>
      <c r="G500" s="12"/>
      <c r="H500" s="210"/>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row>
    <row r="501" spans="2:107" hidden="1" x14ac:dyDescent="0.25">
      <c r="B501" s="12"/>
      <c r="C501" s="12"/>
      <c r="D501" s="12"/>
      <c r="E501" s="210"/>
      <c r="F501" s="12"/>
      <c r="G501" s="12"/>
      <c r="H501" s="210"/>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row>
    <row r="502" spans="2:107" hidden="1" x14ac:dyDescent="0.25">
      <c r="B502" s="12"/>
      <c r="C502" s="12"/>
      <c r="D502" s="12"/>
      <c r="E502" s="210"/>
      <c r="F502" s="12"/>
      <c r="G502" s="12"/>
      <c r="H502" s="210"/>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row>
    <row r="503" spans="2:107" hidden="1" x14ac:dyDescent="0.25">
      <c r="B503" s="12"/>
      <c r="C503" s="12"/>
      <c r="D503" s="12"/>
      <c r="E503" s="210"/>
      <c r="F503" s="12"/>
      <c r="G503" s="12"/>
      <c r="H503" s="210"/>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row>
    <row r="504" spans="2:107" hidden="1" x14ac:dyDescent="0.25">
      <c r="B504" s="12"/>
      <c r="C504" s="12"/>
      <c r="D504" s="12"/>
      <c r="E504" s="210"/>
      <c r="F504" s="12"/>
      <c r="G504" s="12"/>
      <c r="H504" s="210"/>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row>
    <row r="505" spans="2:107" hidden="1" x14ac:dyDescent="0.25">
      <c r="B505" s="12"/>
      <c r="C505" s="12"/>
      <c r="D505" s="12"/>
      <c r="E505" s="210"/>
      <c r="F505" s="12"/>
      <c r="G505" s="12"/>
      <c r="H505" s="210"/>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row>
    <row r="506" spans="2:107" hidden="1" x14ac:dyDescent="0.25">
      <c r="B506" s="12"/>
      <c r="C506" s="12"/>
      <c r="D506" s="12"/>
      <c r="E506" s="210"/>
      <c r="F506" s="12"/>
      <c r="G506" s="12"/>
      <c r="H506" s="210"/>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row>
    <row r="507" spans="2:107" hidden="1" x14ac:dyDescent="0.25">
      <c r="B507" s="12"/>
      <c r="C507" s="12"/>
      <c r="D507" s="12"/>
      <c r="E507" s="210"/>
      <c r="F507" s="12"/>
      <c r="G507" s="12"/>
      <c r="H507" s="210"/>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row>
    <row r="508" spans="2:107" hidden="1" x14ac:dyDescent="0.25">
      <c r="B508" s="12"/>
      <c r="C508" s="12"/>
      <c r="D508" s="12"/>
      <c r="E508" s="210"/>
      <c r="F508" s="12"/>
      <c r="G508" s="12"/>
      <c r="H508" s="210"/>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row>
    <row r="509" spans="2:107" hidden="1" x14ac:dyDescent="0.25">
      <c r="B509" s="12"/>
      <c r="C509" s="12"/>
      <c r="D509" s="12"/>
      <c r="E509" s="210"/>
      <c r="F509" s="12"/>
      <c r="G509" s="12"/>
      <c r="H509" s="210"/>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row>
    <row r="510" spans="2:107" hidden="1" x14ac:dyDescent="0.25">
      <c r="B510" s="12"/>
      <c r="C510" s="12"/>
      <c r="D510" s="12"/>
      <c r="E510" s="210"/>
      <c r="F510" s="12"/>
      <c r="G510" s="12"/>
      <c r="H510" s="210"/>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row>
    <row r="511" spans="2:107" hidden="1" x14ac:dyDescent="0.25">
      <c r="B511" s="12"/>
      <c r="C511" s="12"/>
      <c r="D511" s="12"/>
      <c r="E511" s="210"/>
      <c r="F511" s="12"/>
      <c r="G511" s="12"/>
      <c r="H511" s="210"/>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row>
    <row r="512" spans="2:107" hidden="1" x14ac:dyDescent="0.25">
      <c r="B512" s="12"/>
      <c r="C512" s="12"/>
      <c r="D512" s="12"/>
      <c r="E512" s="210"/>
      <c r="F512" s="12"/>
      <c r="G512" s="12"/>
      <c r="H512" s="210"/>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row>
    <row r="513" spans="2:107" hidden="1" x14ac:dyDescent="0.25">
      <c r="B513" s="12"/>
      <c r="C513" s="12"/>
      <c r="D513" s="12"/>
      <c r="E513" s="210"/>
      <c r="F513" s="12"/>
      <c r="G513" s="12"/>
      <c r="H513" s="210"/>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row>
    <row r="514" spans="2:107" hidden="1" x14ac:dyDescent="0.25">
      <c r="B514" s="12"/>
      <c r="C514" s="12"/>
      <c r="D514" s="12"/>
      <c r="E514" s="210"/>
      <c r="F514" s="12"/>
      <c r="G514" s="12"/>
      <c r="H514" s="210"/>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row>
    <row r="515" spans="2:107" hidden="1" x14ac:dyDescent="0.25">
      <c r="B515" s="12"/>
      <c r="C515" s="12"/>
      <c r="D515" s="12"/>
      <c r="E515" s="210"/>
      <c r="F515" s="12"/>
      <c r="G515" s="12"/>
      <c r="H515" s="210"/>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row>
    <row r="516" spans="2:107" hidden="1" x14ac:dyDescent="0.25">
      <c r="B516" s="12"/>
      <c r="C516" s="12"/>
      <c r="D516" s="12"/>
      <c r="E516" s="210"/>
      <c r="F516" s="12"/>
      <c r="G516" s="12"/>
      <c r="H516" s="210"/>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row>
    <row r="517" spans="2:107" hidden="1" x14ac:dyDescent="0.25">
      <c r="B517" s="12"/>
      <c r="C517" s="12"/>
      <c r="D517" s="12"/>
      <c r="E517" s="210"/>
      <c r="F517" s="12"/>
      <c r="G517" s="12"/>
      <c r="H517" s="210"/>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row>
    <row r="518" spans="2:107" hidden="1" x14ac:dyDescent="0.25">
      <c r="B518" s="12"/>
      <c r="C518" s="12"/>
      <c r="D518" s="12"/>
      <c r="E518" s="210"/>
      <c r="F518" s="12"/>
      <c r="G518" s="12"/>
      <c r="H518" s="210"/>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row>
    <row r="519" spans="2:107" hidden="1" x14ac:dyDescent="0.25">
      <c r="B519" s="12"/>
      <c r="C519" s="12"/>
      <c r="D519" s="12"/>
      <c r="E519" s="210"/>
      <c r="F519" s="12"/>
      <c r="G519" s="12"/>
      <c r="H519" s="210"/>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row>
    <row r="520" spans="2:107" hidden="1" x14ac:dyDescent="0.25">
      <c r="B520" s="12"/>
      <c r="C520" s="12"/>
      <c r="D520" s="12"/>
      <c r="E520" s="210"/>
      <c r="F520" s="12"/>
      <c r="G520" s="12"/>
      <c r="H520" s="210"/>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row>
    <row r="521" spans="2:107" hidden="1" x14ac:dyDescent="0.25">
      <c r="B521" s="12"/>
      <c r="C521" s="12"/>
      <c r="D521" s="12"/>
      <c r="E521" s="210"/>
      <c r="F521" s="12"/>
      <c r="G521" s="12"/>
      <c r="H521" s="210"/>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row>
    <row r="522" spans="2:107" hidden="1" x14ac:dyDescent="0.25">
      <c r="B522" s="12"/>
      <c r="C522" s="12"/>
      <c r="D522" s="12"/>
      <c r="E522" s="210"/>
      <c r="F522" s="12"/>
      <c r="G522" s="12"/>
      <c r="H522" s="210"/>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row>
    <row r="523" spans="2:107" hidden="1" x14ac:dyDescent="0.25">
      <c r="B523" s="12"/>
      <c r="C523" s="12"/>
      <c r="D523" s="12"/>
      <c r="E523" s="210"/>
      <c r="F523" s="12"/>
      <c r="G523" s="12"/>
      <c r="H523" s="210"/>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row>
    <row r="524" spans="2:107" hidden="1" x14ac:dyDescent="0.25">
      <c r="B524" s="12"/>
      <c r="C524" s="12"/>
      <c r="D524" s="12"/>
      <c r="E524" s="210"/>
      <c r="F524" s="12"/>
      <c r="G524" s="12"/>
      <c r="H524" s="210"/>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row>
    <row r="525" spans="2:107" hidden="1" x14ac:dyDescent="0.25">
      <c r="B525" s="12"/>
      <c r="C525" s="12"/>
      <c r="D525" s="12"/>
      <c r="E525" s="210"/>
      <c r="F525" s="12"/>
      <c r="G525" s="12"/>
      <c r="H525" s="210"/>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row>
    <row r="526" spans="2:107" hidden="1" x14ac:dyDescent="0.25">
      <c r="B526" s="12"/>
      <c r="C526" s="12"/>
      <c r="D526" s="12"/>
      <c r="E526" s="210"/>
      <c r="F526" s="12"/>
      <c r="G526" s="12"/>
      <c r="H526" s="210"/>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row>
    <row r="527" spans="2:107" hidden="1" x14ac:dyDescent="0.25">
      <c r="B527" s="12"/>
      <c r="C527" s="12"/>
      <c r="D527" s="12"/>
      <c r="E527" s="210"/>
      <c r="F527" s="12"/>
      <c r="G527" s="12"/>
      <c r="H527" s="210"/>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row>
    <row r="528" spans="2:107" hidden="1" x14ac:dyDescent="0.25">
      <c r="B528" s="12"/>
      <c r="C528" s="12"/>
      <c r="D528" s="12"/>
      <c r="E528" s="210"/>
      <c r="F528" s="12"/>
      <c r="G528" s="12"/>
      <c r="H528" s="210"/>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row>
    <row r="529" spans="2:107" hidden="1" x14ac:dyDescent="0.25">
      <c r="B529" s="12"/>
      <c r="C529" s="12"/>
      <c r="D529" s="12"/>
      <c r="E529" s="210"/>
      <c r="F529" s="12"/>
      <c r="G529" s="12"/>
      <c r="H529" s="210"/>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row>
    <row r="530" spans="2:107" hidden="1" x14ac:dyDescent="0.25">
      <c r="B530" s="12"/>
      <c r="C530" s="12"/>
      <c r="D530" s="12"/>
      <c r="E530" s="210"/>
      <c r="F530" s="12"/>
      <c r="G530" s="12"/>
      <c r="H530" s="210"/>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row>
    <row r="531" spans="2:107" hidden="1" x14ac:dyDescent="0.25">
      <c r="B531" s="12"/>
      <c r="C531" s="12"/>
      <c r="D531" s="12"/>
      <c r="E531" s="210"/>
      <c r="F531" s="12"/>
      <c r="G531" s="12"/>
      <c r="H531" s="210"/>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row>
    <row r="532" spans="2:107" hidden="1" x14ac:dyDescent="0.25">
      <c r="B532" s="12"/>
      <c r="C532" s="12"/>
      <c r="D532" s="12"/>
      <c r="E532" s="210"/>
      <c r="F532" s="12"/>
      <c r="G532" s="12"/>
      <c r="H532" s="210"/>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row>
    <row r="533" spans="2:107" hidden="1" x14ac:dyDescent="0.25">
      <c r="B533" s="12"/>
      <c r="C533" s="12"/>
      <c r="D533" s="12"/>
      <c r="E533" s="210"/>
      <c r="F533" s="12"/>
      <c r="G533" s="12"/>
      <c r="H533" s="210"/>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row>
    <row r="534" spans="2:107" hidden="1" x14ac:dyDescent="0.25">
      <c r="B534" s="12"/>
      <c r="C534" s="12"/>
      <c r="D534" s="12"/>
      <c r="E534" s="210"/>
      <c r="F534" s="12"/>
      <c r="G534" s="12"/>
      <c r="H534" s="210"/>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row>
    <row r="535" spans="2:107" hidden="1" x14ac:dyDescent="0.25">
      <c r="B535" s="12"/>
      <c r="C535" s="12"/>
      <c r="D535" s="12"/>
      <c r="E535" s="210"/>
      <c r="F535" s="12"/>
      <c r="G535" s="12"/>
      <c r="H535" s="210"/>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row>
    <row r="536" spans="2:107" hidden="1" x14ac:dyDescent="0.25">
      <c r="B536" s="12"/>
      <c r="C536" s="12"/>
      <c r="D536" s="12"/>
      <c r="E536" s="210"/>
      <c r="F536" s="12"/>
      <c r="G536" s="12"/>
      <c r="H536" s="210"/>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row>
    <row r="537" spans="2:107" hidden="1" x14ac:dyDescent="0.25">
      <c r="B537" s="12"/>
      <c r="C537" s="12"/>
      <c r="D537" s="12"/>
      <c r="E537" s="210"/>
      <c r="F537" s="12"/>
      <c r="G537" s="12"/>
      <c r="H537" s="210"/>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row>
    <row r="538" spans="2:107" hidden="1" x14ac:dyDescent="0.25">
      <c r="B538" s="12"/>
      <c r="C538" s="12"/>
      <c r="D538" s="12"/>
      <c r="E538" s="210"/>
      <c r="F538" s="12"/>
      <c r="G538" s="12"/>
      <c r="H538" s="210"/>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row>
    <row r="539" spans="2:107" hidden="1" x14ac:dyDescent="0.25">
      <c r="B539" s="12"/>
      <c r="C539" s="12"/>
      <c r="D539" s="12"/>
      <c r="E539" s="210"/>
      <c r="F539" s="12"/>
      <c r="G539" s="12"/>
      <c r="H539" s="210"/>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row>
    <row r="540" spans="2:107" hidden="1" x14ac:dyDescent="0.25">
      <c r="B540" s="12"/>
      <c r="C540" s="12"/>
      <c r="D540" s="12"/>
      <c r="E540" s="210"/>
      <c r="F540" s="12"/>
      <c r="G540" s="12"/>
      <c r="H540" s="210"/>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row>
    <row r="541" spans="2:107" hidden="1" x14ac:dyDescent="0.25">
      <c r="B541" s="12"/>
      <c r="C541" s="12"/>
      <c r="D541" s="12"/>
      <c r="E541" s="210"/>
      <c r="F541" s="12"/>
      <c r="G541" s="12"/>
      <c r="H541" s="210"/>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row>
    <row r="542" spans="2:107" hidden="1" x14ac:dyDescent="0.25">
      <c r="B542" s="12"/>
      <c r="C542" s="12"/>
      <c r="D542" s="12"/>
      <c r="E542" s="210"/>
      <c r="F542" s="12"/>
      <c r="G542" s="12"/>
      <c r="H542" s="210"/>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row>
    <row r="543" spans="2:107" hidden="1" x14ac:dyDescent="0.25">
      <c r="B543" s="12"/>
      <c r="C543" s="12"/>
      <c r="D543" s="12"/>
      <c r="E543" s="210"/>
      <c r="F543" s="12"/>
      <c r="G543" s="12"/>
      <c r="H543" s="210"/>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row>
    <row r="544" spans="2:107" hidden="1" x14ac:dyDescent="0.25">
      <c r="B544" s="12"/>
      <c r="C544" s="12"/>
      <c r="D544" s="12"/>
      <c r="E544" s="210"/>
      <c r="F544" s="12"/>
      <c r="G544" s="12"/>
      <c r="H544" s="210"/>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row>
    <row r="545" spans="2:107" hidden="1" x14ac:dyDescent="0.25">
      <c r="B545" s="12"/>
      <c r="C545" s="12"/>
      <c r="D545" s="12"/>
      <c r="E545" s="210"/>
      <c r="F545" s="12"/>
      <c r="G545" s="12"/>
      <c r="H545" s="210"/>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row>
    <row r="546" spans="2:107" hidden="1" x14ac:dyDescent="0.25">
      <c r="B546" s="12"/>
      <c r="C546" s="12"/>
      <c r="D546" s="12"/>
      <c r="E546" s="210"/>
      <c r="F546" s="12"/>
      <c r="G546" s="12"/>
      <c r="H546" s="210"/>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row>
    <row r="547" spans="2:107" hidden="1" x14ac:dyDescent="0.25">
      <c r="B547" s="12"/>
      <c r="C547" s="12"/>
      <c r="D547" s="12"/>
      <c r="E547" s="210"/>
      <c r="F547" s="12"/>
      <c r="H547" s="210"/>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row>
    <row r="548" spans="2:107" hidden="1" x14ac:dyDescent="0.25">
      <c r="B548" s="12"/>
      <c r="C548" s="12"/>
      <c r="D548" s="12"/>
      <c r="E548" s="210"/>
      <c r="F548" s="12"/>
      <c r="H548" s="210"/>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row>
    <row r="549" spans="2:107" hidden="1" x14ac:dyDescent="0.25">
      <c r="B549" s="12"/>
      <c r="C549" s="12"/>
      <c r="D549" s="12"/>
      <c r="E549" s="210"/>
      <c r="F549" s="12"/>
      <c r="H549" s="210"/>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row>
    <row r="550" spans="2:107" hidden="1" x14ac:dyDescent="0.25">
      <c r="B550" s="12"/>
      <c r="H550" s="210"/>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row>
  </sheetData>
  <sheetProtection password="A53B" sheet="1" objects="1" scenarios="1"/>
  <mergeCells count="23">
    <mergeCell ref="C28:F28"/>
    <mergeCell ref="B1:I1"/>
    <mergeCell ref="C5:D5"/>
    <mergeCell ref="C13:D13"/>
    <mergeCell ref="C12:D12"/>
    <mergeCell ref="C11:D11"/>
    <mergeCell ref="C10:D10"/>
    <mergeCell ref="C9:D9"/>
    <mergeCell ref="C8:D8"/>
    <mergeCell ref="C7:D7"/>
    <mergeCell ref="C6:D6"/>
    <mergeCell ref="C3:D4"/>
    <mergeCell ref="C26:D26"/>
    <mergeCell ref="G3:G4"/>
    <mergeCell ref="C14:D14"/>
    <mergeCell ref="C15:D15"/>
    <mergeCell ref="C16:D16"/>
    <mergeCell ref="C21:E21"/>
    <mergeCell ref="C22:E22"/>
    <mergeCell ref="C23:E23"/>
    <mergeCell ref="C25:F25"/>
    <mergeCell ref="C17:D17"/>
    <mergeCell ref="C24:E24"/>
  </mergeCells>
  <dataValidations count="13">
    <dataValidation type="list" allowBlank="1" showInputMessage="1" showErrorMessage="1" sqref="F21">
      <formula1>pluie</formula1>
    </dataValidation>
    <dataValidation type="list" allowBlank="1" showInputMessage="1" showErrorMessage="1" sqref="F23">
      <formula1>Couverture</formula1>
    </dataValidation>
    <dataValidation type="list" allowBlank="1" showInputMessage="1" showErrorMessage="1" sqref="F19">
      <formula1>stock</formula1>
    </dataValidation>
    <dataValidation type="list" allowBlank="1" showInputMessage="1" showErrorMessage="1" sqref="F47 F16:F17">
      <formula1 xml:space="preserve"> Ouvrages_stock</formula1>
    </dataValidation>
    <dataValidation type="list" allowBlank="1" showInputMessage="1" showErrorMessage="1" sqref="C19">
      <formula1>especes</formula1>
    </dataValidation>
    <dataValidation type="list" allowBlank="1" showInputMessage="1" showErrorMessage="1" sqref="D19">
      <formula1>prod</formula1>
    </dataValidation>
    <dataValidation type="list" allowBlank="1" showInputMessage="1" showErrorMessage="1" sqref="F6:F13">
      <formula1>Modes_logts</formula1>
    </dataValidation>
    <dataValidation type="list" allowBlank="1" showInputMessage="1" showErrorMessage="1" sqref="F15">
      <formula1>Ouvrages_stock</formula1>
    </dataValidation>
    <dataValidation type="list" allowBlank="1" showInputMessage="1" showErrorMessage="1" sqref="C15:C17 B48">
      <formula1>Catégorie_porc</formula1>
    </dataValidation>
    <dataValidation type="whole" allowBlank="1" showInputMessage="1" showErrorMessage="1" prompt="alerte" sqref="I10">
      <formula1>0</formula1>
      <formula2>100</formula2>
    </dataValidation>
    <dataValidation errorStyle="warning" allowBlank="1" showInputMessage="1" showErrorMessage="1" sqref="E6"/>
    <dataValidation type="list" allowBlank="1" showInputMessage="1" showErrorMessage="1" sqref="F22">
      <formula1>Période1</formula1>
    </dataValidation>
    <dataValidation type="list" allowBlank="1" showInputMessage="1" showErrorMessage="1" sqref="F24">
      <formula1>Fosse_couverture</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91"/>
  <sheetViews>
    <sheetView showGridLines="0" showRowColHeaders="0" workbookViewId="0">
      <selection activeCell="C10" sqref="C10"/>
    </sheetView>
  </sheetViews>
  <sheetFormatPr baseColWidth="10" defaultRowHeight="15" x14ac:dyDescent="0.25"/>
  <cols>
    <col min="1" max="1" width="30.7109375" customWidth="1"/>
    <col min="2" max="2" width="31.28515625" customWidth="1"/>
    <col min="3" max="3" width="41.7109375" customWidth="1"/>
    <col min="4" max="4" width="20.85546875" customWidth="1"/>
    <col min="5" max="5" width="46.140625" customWidth="1"/>
    <col min="6" max="6" width="20" customWidth="1"/>
    <col min="7" max="7" width="18.5703125" customWidth="1"/>
    <col min="8" max="8" width="20.7109375" customWidth="1"/>
    <col min="9" max="9" width="4.7109375" customWidth="1"/>
    <col min="10" max="10" width="18.7109375" customWidth="1"/>
    <col min="11" max="11" width="23.7109375" customWidth="1"/>
    <col min="13" max="34" width="11.42578125" style="903"/>
  </cols>
  <sheetData>
    <row r="1" spans="1:12" ht="15.75" thickBot="1" x14ac:dyDescent="0.3">
      <c r="A1" s="885" t="s">
        <v>1060</v>
      </c>
      <c r="B1" s="686"/>
      <c r="C1" s="291"/>
      <c r="D1" s="681" t="s">
        <v>890</v>
      </c>
      <c r="E1" s="681"/>
      <c r="F1" s="291"/>
      <c r="G1" s="291"/>
      <c r="H1" s="291"/>
      <c r="I1" s="291"/>
      <c r="J1" s="291"/>
      <c r="K1" s="291"/>
      <c r="L1" s="291"/>
    </row>
    <row r="2" spans="1:12" ht="15.75" thickBot="1" x14ac:dyDescent="0.3">
      <c r="A2" s="648" t="s">
        <v>1063</v>
      </c>
      <c r="B2" s="687">
        <v>1.8</v>
      </c>
      <c r="C2" s="291"/>
      <c r="D2" s="664" t="s">
        <v>970</v>
      </c>
      <c r="E2" s="664" t="s">
        <v>818</v>
      </c>
      <c r="F2" s="291"/>
      <c r="G2" s="291"/>
      <c r="H2" s="291"/>
      <c r="I2" s="291"/>
      <c r="J2" s="291"/>
      <c r="K2" s="291"/>
      <c r="L2" s="291"/>
    </row>
    <row r="3" spans="1:12" ht="15.75" thickBot="1" x14ac:dyDescent="0.3">
      <c r="A3" s="649" t="s">
        <v>1095</v>
      </c>
      <c r="B3" s="688">
        <v>1.6</v>
      </c>
      <c r="C3" s="291"/>
      <c r="D3" s="689" t="s">
        <v>1096</v>
      </c>
      <c r="E3" s="279" t="str">
        <f>'Feuille saisie commune'!C19</f>
        <v>Dinde de chair</v>
      </c>
      <c r="F3" s="291"/>
      <c r="G3" s="291"/>
      <c r="H3" s="291"/>
      <c r="I3" s="291"/>
      <c r="J3" s="291"/>
      <c r="K3" s="291"/>
      <c r="L3" s="291"/>
    </row>
    <row r="4" spans="1:12" ht="15.75" thickBot="1" x14ac:dyDescent="0.3">
      <c r="A4" s="649" t="s">
        <v>1065</v>
      </c>
      <c r="B4" s="690">
        <v>1.8</v>
      </c>
      <c r="C4" s="291"/>
      <c r="D4" s="664" t="s">
        <v>814</v>
      </c>
      <c r="E4" s="664" t="s">
        <v>800</v>
      </c>
      <c r="F4" s="291"/>
      <c r="G4" s="291"/>
      <c r="H4" s="291"/>
      <c r="I4" s="291"/>
      <c r="J4" s="291"/>
      <c r="K4" s="291"/>
      <c r="L4" s="291"/>
    </row>
    <row r="5" spans="1:12" ht="15.75" thickBot="1" x14ac:dyDescent="0.3">
      <c r="A5" s="649" t="s">
        <v>1067</v>
      </c>
      <c r="B5" s="688">
        <v>5</v>
      </c>
      <c r="C5" s="291"/>
      <c r="D5" s="691">
        <v>1000</v>
      </c>
      <c r="E5" s="279" t="str">
        <f>'Feuille saisie commune'!D19</f>
        <v>Standard</v>
      </c>
      <c r="F5" s="291"/>
      <c r="G5" s="291"/>
      <c r="H5" s="291"/>
      <c r="I5" s="291"/>
      <c r="J5" s="291"/>
      <c r="K5" s="291"/>
      <c r="L5" s="291"/>
    </row>
    <row r="6" spans="1:12" ht="15.75" thickBot="1" x14ac:dyDescent="0.3">
      <c r="A6" s="649" t="s">
        <v>1097</v>
      </c>
      <c r="B6" s="688">
        <v>36.97</v>
      </c>
      <c r="C6" s="291"/>
      <c r="D6" s="643"/>
      <c r="E6" s="664" t="s">
        <v>915</v>
      </c>
      <c r="F6" s="291"/>
      <c r="G6" s="291"/>
      <c r="H6" s="291"/>
      <c r="I6" s="291"/>
      <c r="J6" s="291"/>
      <c r="K6" s="291"/>
      <c r="L6" s="291"/>
    </row>
    <row r="7" spans="1:12" ht="15.75" thickBot="1" x14ac:dyDescent="0.3">
      <c r="A7" s="654" t="s">
        <v>1072</v>
      </c>
      <c r="B7" s="692">
        <v>1</v>
      </c>
      <c r="C7" s="12"/>
      <c r="D7" s="643"/>
      <c r="E7" s="691"/>
      <c r="F7" s="291"/>
      <c r="G7" s="291"/>
      <c r="H7" s="291"/>
      <c r="I7" s="291"/>
      <c r="J7" s="291"/>
      <c r="K7" s="291"/>
      <c r="L7" s="291"/>
    </row>
    <row r="8" spans="1:12" ht="15.75" thickBot="1" x14ac:dyDescent="0.3">
      <c r="A8" s="656" t="str">
        <f>IF(E3="Poules Pondeuses", "Quantité d'œufs produits (kg/an)", " " )</f>
        <v xml:space="preserve"> </v>
      </c>
      <c r="B8" s="693">
        <v>1200000</v>
      </c>
      <c r="C8" s="291"/>
      <c r="D8" s="291"/>
      <c r="E8" s="33"/>
      <c r="F8" s="291"/>
      <c r="G8" s="694"/>
      <c r="H8" s="695"/>
      <c r="I8" s="696"/>
      <c r="J8" s="33"/>
      <c r="K8" s="33"/>
      <c r="L8" s="33"/>
    </row>
    <row r="9" spans="1:12" x14ac:dyDescent="0.25">
      <c r="A9" s="12"/>
      <c r="B9" s="12"/>
      <c r="C9" s="291"/>
      <c r="D9" s="12"/>
      <c r="E9" s="12"/>
      <c r="F9" s="291"/>
      <c r="G9" s="697"/>
      <c r="H9" s="698"/>
      <c r="I9" s="698"/>
      <c r="J9" s="33"/>
      <c r="K9" s="33"/>
      <c r="L9" s="33"/>
    </row>
    <row r="10" spans="1:12" x14ac:dyDescent="0.25">
      <c r="A10" s="12"/>
      <c r="B10" s="12"/>
      <c r="C10" s="643"/>
      <c r="D10" s="12"/>
      <c r="E10" s="12"/>
      <c r="F10" s="291"/>
      <c r="G10" s="697"/>
      <c r="H10" s="698"/>
      <c r="I10" s="698"/>
      <c r="J10" s="291"/>
      <c r="K10" s="33"/>
      <c r="L10" s="33"/>
    </row>
    <row r="11" spans="1:12" x14ac:dyDescent="0.25">
      <c r="A11" s="12"/>
      <c r="B11" s="12"/>
      <c r="C11" s="643"/>
      <c r="D11" s="12"/>
      <c r="E11" s="12"/>
      <c r="F11" s="291"/>
      <c r="G11" s="697"/>
      <c r="H11" s="698"/>
      <c r="I11" s="698"/>
      <c r="J11" s="291"/>
      <c r="K11" s="291"/>
      <c r="L11" s="33"/>
    </row>
    <row r="12" spans="1:12" x14ac:dyDescent="0.25">
      <c r="A12" s="12"/>
      <c r="B12" s="12"/>
      <c r="C12" s="643"/>
      <c r="D12" s="12"/>
      <c r="E12" s="12"/>
      <c r="F12" s="291"/>
      <c r="G12" s="697"/>
      <c r="H12" s="698"/>
      <c r="I12" s="698"/>
      <c r="J12" s="291"/>
      <c r="K12" s="291"/>
      <c r="L12" s="33"/>
    </row>
    <row r="13" spans="1:12" ht="15.75" thickBot="1" x14ac:dyDescent="0.3">
      <c r="A13" s="670"/>
      <c r="B13" s="670"/>
      <c r="C13" s="643"/>
      <c r="D13" s="12"/>
      <c r="E13" s="12"/>
      <c r="F13" s="291"/>
      <c r="G13" s="697"/>
      <c r="H13" s="698"/>
      <c r="I13" s="698"/>
      <c r="J13" s="291"/>
      <c r="K13" s="291"/>
      <c r="L13" s="33"/>
    </row>
    <row r="14" spans="1:12" ht="15.75" thickBot="1" x14ac:dyDescent="0.3">
      <c r="A14" s="886" t="s">
        <v>1098</v>
      </c>
      <c r="B14" s="663"/>
      <c r="C14" s="12"/>
      <c r="D14" s="12"/>
      <c r="E14" s="12"/>
      <c r="F14" s="12"/>
      <c r="G14" s="697"/>
      <c r="H14" s="699"/>
      <c r="I14" s="700"/>
      <c r="J14" s="12"/>
      <c r="K14" s="12"/>
      <c r="L14" s="47"/>
    </row>
    <row r="15" spans="1:12" ht="15.75" thickBot="1" x14ac:dyDescent="0.3">
      <c r="A15" s="667" t="s">
        <v>834</v>
      </c>
      <c r="B15" s="701"/>
      <c r="C15" s="12"/>
      <c r="D15" s="12"/>
      <c r="E15" s="12"/>
      <c r="F15" s="12"/>
      <c r="G15" s="697"/>
      <c r="H15" s="698"/>
      <c r="I15" s="698"/>
      <c r="J15" s="12"/>
      <c r="K15" s="12"/>
      <c r="L15" s="47"/>
    </row>
    <row r="16" spans="1:12" x14ac:dyDescent="0.25">
      <c r="A16" s="12"/>
      <c r="B16" s="210"/>
      <c r="C16" s="12"/>
      <c r="D16" s="12"/>
      <c r="E16" s="12"/>
      <c r="F16" s="12"/>
      <c r="G16" s="697"/>
      <c r="H16" s="698"/>
      <c r="I16" s="698"/>
      <c r="J16" s="12"/>
      <c r="K16" s="12"/>
      <c r="L16" s="47"/>
    </row>
    <row r="17" spans="1:12" ht="15.75" thickBot="1" x14ac:dyDescent="0.3">
      <c r="A17" s="12"/>
      <c r="B17" s="210"/>
      <c r="C17" s="210"/>
      <c r="D17" s="12"/>
      <c r="E17" s="12"/>
      <c r="F17" s="12"/>
      <c r="G17" s="697"/>
      <c r="H17" s="698"/>
      <c r="I17" s="698"/>
      <c r="J17" s="12"/>
      <c r="K17" s="12"/>
      <c r="L17" s="47"/>
    </row>
    <row r="18" spans="1:12" ht="15.75" thickBot="1" x14ac:dyDescent="0.3">
      <c r="A18" s="657" t="s">
        <v>1078</v>
      </c>
      <c r="B18" s="658"/>
      <c r="C18" s="519"/>
      <c r="D18" s="12"/>
      <c r="E18" s="333"/>
      <c r="F18" s="12"/>
      <c r="G18" s="697"/>
      <c r="H18" s="699"/>
      <c r="I18" s="699"/>
      <c r="J18" s="12"/>
      <c r="K18" s="12"/>
      <c r="L18" s="47"/>
    </row>
    <row r="19" spans="1:12" x14ac:dyDescent="0.25">
      <c r="A19" s="648" t="s">
        <v>403</v>
      </c>
      <c r="B19" s="702">
        <v>1</v>
      </c>
      <c r="C19" s="210"/>
      <c r="D19" s="12"/>
      <c r="E19" s="12"/>
      <c r="F19" s="12"/>
      <c r="G19" s="697"/>
      <c r="H19" s="699"/>
      <c r="I19" s="699"/>
      <c r="J19" s="12"/>
      <c r="K19" s="12"/>
      <c r="L19" s="47"/>
    </row>
    <row r="20" spans="1:12" ht="15.75" thickBot="1" x14ac:dyDescent="0.3">
      <c r="A20" s="656" t="s">
        <v>1081</v>
      </c>
      <c r="B20" s="703">
        <v>0</v>
      </c>
      <c r="C20" s="210"/>
      <c r="D20" s="12"/>
      <c r="E20" s="12"/>
      <c r="F20" s="12"/>
      <c r="G20" s="697"/>
      <c r="H20" s="699"/>
      <c r="I20" s="699"/>
      <c r="J20" s="519"/>
      <c r="K20" s="519"/>
      <c r="L20" s="47"/>
    </row>
    <row r="21" spans="1:12" ht="15.75" thickBot="1" x14ac:dyDescent="0.3">
      <c r="A21" s="210"/>
      <c r="B21" s="12"/>
      <c r="C21" s="210"/>
      <c r="D21" s="12"/>
      <c r="E21" s="12"/>
      <c r="F21" s="12"/>
      <c r="G21" s="704"/>
      <c r="H21" s="704"/>
      <c r="I21" s="704"/>
      <c r="J21" s="519"/>
      <c r="K21" s="519"/>
      <c r="L21" s="47"/>
    </row>
    <row r="22" spans="1:12" ht="15.75" thickBot="1" x14ac:dyDescent="0.3">
      <c r="A22" s="675" t="s">
        <v>1165</v>
      </c>
      <c r="B22" s="658"/>
      <c r="C22" s="819" t="s">
        <v>1099</v>
      </c>
      <c r="D22" s="12"/>
      <c r="E22" s="12"/>
      <c r="F22" s="12"/>
      <c r="G22" s="1158"/>
      <c r="H22" s="1158"/>
      <c r="I22" s="704"/>
      <c r="J22" s="519"/>
      <c r="K22" s="519"/>
      <c r="L22" s="47"/>
    </row>
    <row r="23" spans="1:12" ht="15.75" thickBot="1" x14ac:dyDescent="0.3">
      <c r="A23" s="676" t="str">
        <f>VLOOKUP(E3,[2]Param_volailles!A22:B26,2,FALSE)</f>
        <v>Fumier</v>
      </c>
      <c r="B23" s="705">
        <f>'Simple Avi'!B20</f>
        <v>313.5</v>
      </c>
      <c r="C23" s="701"/>
      <c r="D23" s="12"/>
      <c r="E23" s="12"/>
      <c r="F23" s="12"/>
      <c r="G23" s="704"/>
      <c r="H23" s="704"/>
      <c r="I23" s="704"/>
      <c r="J23" s="519"/>
      <c r="K23" s="519"/>
      <c r="L23" s="47"/>
    </row>
    <row r="24" spans="1:12" ht="15.75" thickBot="1" x14ac:dyDescent="0.3">
      <c r="A24" s="706" t="s">
        <v>874</v>
      </c>
      <c r="B24" s="679" t="s">
        <v>718</v>
      </c>
      <c r="C24" s="210"/>
      <c r="D24" s="12"/>
      <c r="E24" s="12"/>
      <c r="F24" s="12"/>
      <c r="G24" s="704"/>
      <c r="H24" s="704"/>
      <c r="I24" s="704"/>
      <c r="J24" s="519"/>
      <c r="K24" s="519"/>
      <c r="L24" s="47"/>
    </row>
    <row r="25" spans="1:12" x14ac:dyDescent="0.25">
      <c r="A25" s="12"/>
      <c r="B25" s="12"/>
      <c r="C25" s="12"/>
      <c r="D25" s="12"/>
      <c r="E25" s="12"/>
      <c r="F25" s="12"/>
      <c r="G25" s="707"/>
      <c r="H25" s="707"/>
      <c r="I25" s="707"/>
      <c r="J25" s="12"/>
      <c r="K25" s="12"/>
      <c r="L25" s="12"/>
    </row>
    <row r="26" spans="1:12" x14ac:dyDescent="0.25">
      <c r="A26" s="12"/>
      <c r="B26" s="12"/>
      <c r="C26" s="12"/>
      <c r="D26" s="12"/>
      <c r="E26" s="12"/>
      <c r="F26" s="12"/>
      <c r="G26" s="12"/>
      <c r="H26" s="12"/>
      <c r="I26" s="12"/>
      <c r="J26" s="12"/>
      <c r="K26" s="12"/>
      <c r="L26" s="12"/>
    </row>
    <row r="27" spans="1:12" x14ac:dyDescent="0.25">
      <c r="A27" s="12"/>
      <c r="B27" s="12"/>
      <c r="C27" s="12"/>
      <c r="D27" s="12"/>
      <c r="E27" s="12"/>
      <c r="F27" s="12"/>
      <c r="G27" s="708"/>
      <c r="H27" s="708"/>
      <c r="I27" s="704"/>
      <c r="J27" s="12"/>
      <c r="K27" s="12"/>
      <c r="L27" s="12"/>
    </row>
    <row r="28" spans="1:12" ht="15.75" thickBot="1" x14ac:dyDescent="0.3">
      <c r="A28" s="239" t="s">
        <v>1100</v>
      </c>
      <c r="B28" s="12"/>
      <c r="C28" s="12" t="s">
        <v>1101</v>
      </c>
      <c r="D28" s="12"/>
      <c r="E28" s="12" t="s">
        <v>1102</v>
      </c>
      <c r="F28" s="12"/>
      <c r="G28" s="704" t="s">
        <v>1103</v>
      </c>
      <c r="H28" s="12"/>
      <c r="I28" s="709"/>
      <c r="J28" s="12"/>
      <c r="K28" s="12"/>
      <c r="L28" s="12"/>
    </row>
    <row r="29" spans="1:12" ht="15.75" thickBot="1" x14ac:dyDescent="0.3">
      <c r="A29" s="12"/>
      <c r="B29" s="680" t="s">
        <v>1104</v>
      </c>
      <c r="C29" s="681" t="s">
        <v>1105</v>
      </c>
      <c r="D29" s="680" t="s">
        <v>1106</v>
      </c>
      <c r="E29" s="681" t="s">
        <v>1105</v>
      </c>
      <c r="F29" s="680" t="s">
        <v>1106</v>
      </c>
      <c r="G29" s="681" t="s">
        <v>1107</v>
      </c>
      <c r="H29" s="681" t="s">
        <v>1108</v>
      </c>
      <c r="I29" s="709"/>
      <c r="J29" s="681" t="s">
        <v>906</v>
      </c>
      <c r="K29" s="681"/>
      <c r="L29" s="12"/>
    </row>
    <row r="30" spans="1:12" ht="16.5" thickBot="1" x14ac:dyDescent="0.3">
      <c r="A30" s="710" t="s">
        <v>1109</v>
      </c>
      <c r="B30" s="711">
        <v>22000</v>
      </c>
      <c r="C30" s="668"/>
      <c r="D30" s="668"/>
      <c r="E30" s="668"/>
      <c r="F30" s="668"/>
      <c r="G30" s="668">
        <f>22000-(B5*B30/100)</f>
        <v>20900</v>
      </c>
      <c r="H30" s="668">
        <f>B2</f>
        <v>1.8</v>
      </c>
      <c r="I30" s="709"/>
      <c r="J30" s="1159">
        <f>(C30*D30)+(C31*D31)+(E30*F30)+(E31*F31)+(G30*H30)+(G31*H31)+(B5/100*B30*B4)</f>
        <v>39600</v>
      </c>
      <c r="K30" s="1160"/>
      <c r="L30" s="12"/>
    </row>
    <row r="31" spans="1:12" ht="15.75" thickBot="1" x14ac:dyDescent="0.3">
      <c r="A31" s="712" t="s">
        <v>1110</v>
      </c>
      <c r="B31" s="711"/>
      <c r="C31" s="668"/>
      <c r="D31" s="668"/>
      <c r="E31" s="668"/>
      <c r="F31" s="668"/>
      <c r="G31" s="668"/>
      <c r="H31" s="668"/>
      <c r="I31" s="709"/>
      <c r="J31" s="12"/>
      <c r="K31" s="12"/>
      <c r="L31" s="12"/>
    </row>
    <row r="32" spans="1:12" x14ac:dyDescent="0.25">
      <c r="A32" s="12"/>
      <c r="B32" s="12"/>
      <c r="C32" s="12"/>
      <c r="D32" s="12"/>
      <c r="E32" s="12"/>
      <c r="F32" s="12"/>
      <c r="G32" s="704"/>
      <c r="H32" s="704"/>
      <c r="I32" s="709"/>
      <c r="J32" s="12"/>
      <c r="K32" s="12"/>
      <c r="L32" s="12"/>
    </row>
    <row r="33" spans="1:12" x14ac:dyDescent="0.25">
      <c r="A33" s="291"/>
      <c r="B33" s="291"/>
      <c r="C33" s="291"/>
      <c r="D33" s="291"/>
      <c r="E33" s="291"/>
      <c r="F33" s="291"/>
      <c r="G33" s="291"/>
      <c r="H33" s="291"/>
      <c r="I33" s="291"/>
      <c r="J33" s="291"/>
      <c r="K33" s="291"/>
      <c r="L33" s="291"/>
    </row>
    <row r="34" spans="1:12" s="903" customFormat="1" x14ac:dyDescent="0.25">
      <c r="A34" s="943"/>
      <c r="B34" s="943"/>
      <c r="C34" s="943"/>
      <c r="D34" s="943"/>
      <c r="E34" s="943"/>
      <c r="F34" s="943"/>
      <c r="G34" s="943"/>
      <c r="H34" s="943"/>
      <c r="I34" s="943"/>
      <c r="J34" s="943"/>
      <c r="K34" s="943"/>
      <c r="L34" s="943"/>
    </row>
    <row r="35" spans="1:12" s="903" customFormat="1" x14ac:dyDescent="0.25"/>
    <row r="36" spans="1:12" s="903" customFormat="1" x14ac:dyDescent="0.25"/>
    <row r="37" spans="1:12" s="903" customFormat="1" x14ac:dyDescent="0.25"/>
    <row r="38" spans="1:12" s="903" customFormat="1" x14ac:dyDescent="0.25"/>
    <row r="39" spans="1:12" s="903" customFormat="1" x14ac:dyDescent="0.25"/>
    <row r="40" spans="1:12" s="903" customFormat="1" x14ac:dyDescent="0.25"/>
    <row r="41" spans="1:12" s="903" customFormat="1" x14ac:dyDescent="0.25"/>
    <row r="42" spans="1:12" s="903" customFormat="1" x14ac:dyDescent="0.25"/>
    <row r="43" spans="1:12" s="903" customFormat="1" x14ac:dyDescent="0.25"/>
    <row r="44" spans="1:12" s="903" customFormat="1" x14ac:dyDescent="0.25"/>
    <row r="45" spans="1:12" s="903" customFormat="1" x14ac:dyDescent="0.25"/>
    <row r="46" spans="1:12" s="903" customFormat="1" x14ac:dyDescent="0.25"/>
    <row r="47" spans="1:12" s="903" customFormat="1" x14ac:dyDescent="0.25"/>
    <row r="48" spans="1:12" s="903" customFormat="1" x14ac:dyDescent="0.25"/>
    <row r="49" s="903" customFormat="1" x14ac:dyDescent="0.25"/>
    <row r="50" s="903" customFormat="1" x14ac:dyDescent="0.25"/>
    <row r="51" s="903" customFormat="1" x14ac:dyDescent="0.25"/>
    <row r="52" s="903" customFormat="1" x14ac:dyDescent="0.25"/>
    <row r="53" s="903" customFormat="1" x14ac:dyDescent="0.25"/>
    <row r="54" s="903" customFormat="1" x14ac:dyDescent="0.25"/>
    <row r="55" s="903" customFormat="1" x14ac:dyDescent="0.25"/>
    <row r="56" s="903" customFormat="1" x14ac:dyDescent="0.25"/>
    <row r="57" s="903" customFormat="1" x14ac:dyDescent="0.25"/>
    <row r="58" s="903" customFormat="1" x14ac:dyDescent="0.25"/>
    <row r="59" s="903" customFormat="1" x14ac:dyDescent="0.25"/>
    <row r="60" s="903" customFormat="1" x14ac:dyDescent="0.25"/>
    <row r="61" s="903" customFormat="1" x14ac:dyDescent="0.25"/>
    <row r="62" s="903" customFormat="1" x14ac:dyDescent="0.25"/>
    <row r="63" s="903" customFormat="1" x14ac:dyDescent="0.25"/>
    <row r="64" s="903" customFormat="1" x14ac:dyDescent="0.25"/>
    <row r="65" s="903" customFormat="1" x14ac:dyDescent="0.25"/>
    <row r="66" s="903" customFormat="1" x14ac:dyDescent="0.25"/>
    <row r="67" s="903" customFormat="1" x14ac:dyDescent="0.25"/>
    <row r="68" s="903" customFormat="1" x14ac:dyDescent="0.25"/>
    <row r="69" s="903" customFormat="1" x14ac:dyDescent="0.25"/>
    <row r="70" s="903" customFormat="1" x14ac:dyDescent="0.25"/>
    <row r="71" s="903" customFormat="1" x14ac:dyDescent="0.25"/>
    <row r="72" s="903" customFormat="1" x14ac:dyDescent="0.25"/>
    <row r="73" s="903" customFormat="1" x14ac:dyDescent="0.25"/>
    <row r="74" s="903" customFormat="1" x14ac:dyDescent="0.25"/>
    <row r="75" s="903" customFormat="1" x14ac:dyDescent="0.25"/>
    <row r="76" s="903" customFormat="1" x14ac:dyDescent="0.25"/>
    <row r="77" s="903" customFormat="1" x14ac:dyDescent="0.25"/>
    <row r="78" s="903" customFormat="1" x14ac:dyDescent="0.25"/>
    <row r="79" s="903" customFormat="1" x14ac:dyDescent="0.25"/>
    <row r="80" s="903" customFormat="1" x14ac:dyDescent="0.25"/>
    <row r="81" s="903" customFormat="1" x14ac:dyDescent="0.25"/>
    <row r="82" s="903" customFormat="1" x14ac:dyDescent="0.25"/>
    <row r="83" s="903" customFormat="1" x14ac:dyDescent="0.25"/>
    <row r="84" s="903" customFormat="1" x14ac:dyDescent="0.25"/>
    <row r="85" s="903" customFormat="1" x14ac:dyDescent="0.25"/>
    <row r="86" s="903" customFormat="1" x14ac:dyDescent="0.25"/>
    <row r="87" s="903" customFormat="1" x14ac:dyDescent="0.25"/>
    <row r="88" s="903" customFormat="1" x14ac:dyDescent="0.25"/>
    <row r="89" s="903" customFormat="1" x14ac:dyDescent="0.25"/>
    <row r="90" s="903" customFormat="1" x14ac:dyDescent="0.25"/>
    <row r="91" s="903" customFormat="1" x14ac:dyDescent="0.25"/>
  </sheetData>
  <mergeCells count="2">
    <mergeCell ref="G22:H22"/>
    <mergeCell ref="J30:K30"/>
  </mergeCells>
  <dataValidations count="3">
    <dataValidation type="list" allowBlank="1" showInputMessage="1" showErrorMessage="1" sqref="B24">
      <formula1>ouinon</formula1>
    </dataValidation>
    <dataValidation type="list" allowBlank="1" showInputMessage="1" showErrorMessage="1" sqref="A15">
      <formula1>lit</formula1>
    </dataValidation>
    <dataValidation type="list" allowBlank="1" showInputMessage="1" showErrorMessage="1" sqref="D23">
      <formula1>efflu</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79"/>
  <sheetViews>
    <sheetView showGridLines="0" showRowColHeaders="0" workbookViewId="0">
      <selection activeCell="R12" sqref="R12"/>
    </sheetView>
  </sheetViews>
  <sheetFormatPr baseColWidth="10" defaultRowHeight="15" x14ac:dyDescent="0.25"/>
  <cols>
    <col min="2" max="2" width="27.28515625" customWidth="1"/>
    <col min="16" max="35" width="11.42578125" style="903"/>
  </cols>
  <sheetData>
    <row r="1" spans="1:13" ht="15.75" thickBot="1" x14ac:dyDescent="0.3">
      <c r="A1" s="280"/>
      <c r="B1" s="642" t="s">
        <v>891</v>
      </c>
      <c r="C1" s="280"/>
      <c r="D1" s="280"/>
      <c r="E1" s="280"/>
      <c r="F1" s="280"/>
      <c r="G1" s="280"/>
      <c r="H1" s="280"/>
      <c r="I1" s="280"/>
      <c r="J1" s="280"/>
      <c r="K1" s="280"/>
      <c r="L1" s="280"/>
      <c r="M1" s="280"/>
    </row>
    <row r="2" spans="1:13" ht="15.75" thickBot="1" x14ac:dyDescent="0.3">
      <c r="B2" s="719" t="s">
        <v>815</v>
      </c>
      <c r="C2" s="720" t="s">
        <v>816</v>
      </c>
      <c r="D2" s="720" t="s">
        <v>900</v>
      </c>
      <c r="E2" s="720" t="s">
        <v>901</v>
      </c>
      <c r="F2" s="720" t="s">
        <v>902</v>
      </c>
      <c r="G2" s="720" t="s">
        <v>905</v>
      </c>
      <c r="H2" s="720" t="s">
        <v>1136</v>
      </c>
      <c r="I2" s="720" t="s">
        <v>1137</v>
      </c>
      <c r="J2" s="721" t="s">
        <v>1138</v>
      </c>
      <c r="K2" s="33"/>
      <c r="L2" s="1161" t="s">
        <v>819</v>
      </c>
      <c r="M2" s="1162"/>
    </row>
    <row r="3" spans="1:13" x14ac:dyDescent="0.25">
      <c r="A3" s="280"/>
      <c r="B3" s="722" t="s">
        <v>817</v>
      </c>
      <c r="C3" s="723">
        <v>1</v>
      </c>
      <c r="D3" s="724">
        <v>0.9</v>
      </c>
      <c r="E3" s="724">
        <v>0.186</v>
      </c>
      <c r="F3" s="724">
        <v>7.0000000000000001E-3</v>
      </c>
      <c r="G3" s="725">
        <v>7.0000000000000001E-3</v>
      </c>
      <c r="H3" s="724">
        <v>0.03</v>
      </c>
      <c r="I3" s="726">
        <v>4.0000000000000002E-4</v>
      </c>
      <c r="J3" s="726">
        <v>5.9999999999999995E-4</v>
      </c>
      <c r="K3" s="33"/>
      <c r="L3" s="334" t="s">
        <v>510</v>
      </c>
      <c r="M3" s="335" t="s">
        <v>820</v>
      </c>
    </row>
    <row r="4" spans="1:13" x14ac:dyDescent="0.25">
      <c r="A4" s="280"/>
      <c r="B4" s="727" t="s">
        <v>873</v>
      </c>
      <c r="C4" s="728" t="s">
        <v>1139</v>
      </c>
      <c r="D4" s="729">
        <v>0.9</v>
      </c>
      <c r="E4" s="729">
        <v>0.186</v>
      </c>
      <c r="F4" s="725">
        <v>7.0000000000000001E-3</v>
      </c>
      <c r="G4" s="725">
        <v>7.0000000000000001E-3</v>
      </c>
      <c r="H4" s="729">
        <v>0.03</v>
      </c>
      <c r="I4" s="726">
        <v>4.0000000000000002E-4</v>
      </c>
      <c r="J4" s="726">
        <v>5.9999999999999995E-4</v>
      </c>
      <c r="K4" s="33"/>
      <c r="L4" s="336" t="s">
        <v>511</v>
      </c>
      <c r="M4" s="337" t="s">
        <v>821</v>
      </c>
    </row>
    <row r="5" spans="1:13" x14ac:dyDescent="0.25">
      <c r="A5" s="280"/>
      <c r="B5" s="727" t="s">
        <v>868</v>
      </c>
      <c r="C5" s="728" t="s">
        <v>1140</v>
      </c>
      <c r="D5" s="729">
        <v>0.9</v>
      </c>
      <c r="E5" s="729">
        <v>0.186</v>
      </c>
      <c r="F5" s="725">
        <v>7.0000000000000001E-3</v>
      </c>
      <c r="G5" s="725">
        <v>7.0000000000000001E-3</v>
      </c>
      <c r="H5" s="729">
        <v>0.03</v>
      </c>
      <c r="I5" s="726">
        <v>4.0000000000000002E-4</v>
      </c>
      <c r="J5" s="726">
        <v>5.9999999999999995E-4</v>
      </c>
      <c r="K5" s="33"/>
      <c r="L5" s="336" t="s">
        <v>822</v>
      </c>
      <c r="M5" s="337" t="s">
        <v>823</v>
      </c>
    </row>
    <row r="6" spans="1:13" ht="15.75" thickBot="1" x14ac:dyDescent="0.3">
      <c r="A6" s="280"/>
      <c r="B6" s="727" t="s">
        <v>892</v>
      </c>
      <c r="C6" s="728" t="s">
        <v>1141</v>
      </c>
      <c r="D6" s="729">
        <v>0.9</v>
      </c>
      <c r="E6" s="729">
        <v>0.186</v>
      </c>
      <c r="F6" s="725">
        <v>7.0000000000000001E-3</v>
      </c>
      <c r="G6" s="725">
        <v>7.0000000000000001E-3</v>
      </c>
      <c r="H6" s="729">
        <v>0.03</v>
      </c>
      <c r="I6" s="726">
        <v>4.0000000000000002E-4</v>
      </c>
      <c r="J6" s="726">
        <v>5.9999999999999995E-4</v>
      </c>
      <c r="K6" s="33"/>
      <c r="L6" s="338" t="s">
        <v>507</v>
      </c>
      <c r="M6" s="339" t="s">
        <v>824</v>
      </c>
    </row>
    <row r="7" spans="1:13" x14ac:dyDescent="0.25">
      <c r="A7" s="280"/>
      <c r="B7" s="727"/>
      <c r="C7" s="728"/>
      <c r="D7" s="729"/>
      <c r="E7" s="729"/>
      <c r="F7" s="725"/>
      <c r="G7" s="725"/>
      <c r="H7" s="729"/>
      <c r="I7" s="729"/>
      <c r="J7" s="729"/>
      <c r="K7" s="33"/>
      <c r="L7" s="33"/>
      <c r="M7" s="280"/>
    </row>
    <row r="8" spans="1:13" x14ac:dyDescent="0.25">
      <c r="A8" s="280"/>
      <c r="B8" s="727"/>
      <c r="C8" s="728"/>
      <c r="D8" s="729"/>
      <c r="E8" s="729"/>
      <c r="F8" s="730"/>
      <c r="G8" s="730"/>
      <c r="H8" s="729"/>
      <c r="I8" s="729"/>
      <c r="J8" s="731"/>
      <c r="K8" s="33"/>
      <c r="L8" s="33"/>
      <c r="M8" s="280"/>
    </row>
    <row r="9" spans="1:13" ht="15.75" thickBot="1" x14ac:dyDescent="0.3">
      <c r="A9" s="171"/>
      <c r="B9" s="732"/>
      <c r="C9" s="733"/>
      <c r="D9" s="734"/>
      <c r="E9" s="734"/>
      <c r="F9" s="735"/>
      <c r="G9" s="735"/>
      <c r="H9" s="734"/>
      <c r="I9" s="734"/>
      <c r="J9" s="659"/>
      <c r="K9" s="33"/>
      <c r="L9" s="33"/>
      <c r="M9" s="33"/>
    </row>
    <row r="10" spans="1:13" ht="15.75" thickBot="1" x14ac:dyDescent="0.3">
      <c r="A10" s="33"/>
      <c r="B10" s="736" t="s">
        <v>558</v>
      </c>
      <c r="C10" s="737"/>
      <c r="D10" s="737"/>
      <c r="E10" s="737"/>
      <c r="F10" s="737"/>
      <c r="G10" s="737"/>
      <c r="H10" s="737"/>
      <c r="I10" s="737"/>
      <c r="J10" s="738"/>
      <c r="K10" s="33"/>
      <c r="L10" s="33"/>
      <c r="M10" s="33"/>
    </row>
    <row r="11" spans="1:13" ht="15.75" thickBot="1" x14ac:dyDescent="0.3">
      <c r="B11" s="642" t="s">
        <v>907</v>
      </c>
      <c r="C11" s="33"/>
      <c r="D11" s="33"/>
      <c r="E11" s="33"/>
      <c r="F11" s="33"/>
      <c r="G11" s="33"/>
      <c r="H11" s="33"/>
      <c r="I11" s="33"/>
      <c r="J11" s="33"/>
      <c r="K11" s="33"/>
      <c r="L11" s="33"/>
      <c r="M11" s="33"/>
    </row>
    <row r="12" spans="1:13" ht="75.75" thickBot="1" x14ac:dyDescent="0.3">
      <c r="A12" s="33"/>
      <c r="B12" s="662" t="s">
        <v>815</v>
      </c>
      <c r="C12" s="739" t="s">
        <v>1142</v>
      </c>
      <c r="D12" s="666" t="s">
        <v>1143</v>
      </c>
      <c r="E12" s="666" t="s">
        <v>1144</v>
      </c>
      <c r="F12" s="666" t="s">
        <v>1145</v>
      </c>
      <c r="G12" s="666" t="s">
        <v>1146</v>
      </c>
      <c r="H12" s="666" t="s">
        <v>1147</v>
      </c>
      <c r="I12" s="666" t="s">
        <v>1148</v>
      </c>
      <c r="J12" s="666" t="s">
        <v>1149</v>
      </c>
      <c r="K12" s="666" t="s">
        <v>1150</v>
      </c>
      <c r="L12" s="739" t="s">
        <v>1151</v>
      </c>
      <c r="M12" s="1031" t="s">
        <v>825</v>
      </c>
    </row>
    <row r="13" spans="1:13" x14ac:dyDescent="0.25">
      <c r="A13" s="33"/>
      <c r="B13" s="740" t="str">
        <f t="shared" ref="B13:B18" si="0">B3</f>
        <v>Livraison</v>
      </c>
      <c r="C13" s="741"/>
      <c r="D13" s="742">
        <f t="shared" ref="D13:D18" si="1">C13-(C13*D3)</f>
        <v>0</v>
      </c>
      <c r="E13" s="742">
        <f t="shared" ref="E13:E18" si="2">(C13*D3)/2</f>
        <v>0</v>
      </c>
      <c r="F13" s="742">
        <f t="shared" ref="F13:F18" si="3">C13*E3/6.26</f>
        <v>0</v>
      </c>
      <c r="G13" s="742">
        <f t="shared" ref="G13:G18" si="4">C13*F3</f>
        <v>0</v>
      </c>
      <c r="H13" s="742">
        <f>$C13*G3</f>
        <v>0</v>
      </c>
      <c r="I13" s="742">
        <f>$C13*H3</f>
        <v>0</v>
      </c>
      <c r="J13" s="742">
        <f t="shared" ref="J13:K13" si="5">$C13*I3</f>
        <v>0</v>
      </c>
      <c r="K13" s="742">
        <f t="shared" si="5"/>
        <v>0</v>
      </c>
      <c r="L13" s="743">
        <f>1.8*C13</f>
        <v>0</v>
      </c>
      <c r="M13" s="744" t="str">
        <f t="shared" ref="M13:M19" si="6">IF(L13=0,"-",L13/C13)</f>
        <v>-</v>
      </c>
    </row>
    <row r="14" spans="1:13" x14ac:dyDescent="0.25">
      <c r="A14" s="33"/>
      <c r="B14" s="745" t="str">
        <f t="shared" si="0"/>
        <v>Détassage mâle 1 (chair)</v>
      </c>
      <c r="C14" s="741">
        <v>792000</v>
      </c>
      <c r="D14" s="746">
        <f>C14-(C14*D4)</f>
        <v>79200</v>
      </c>
      <c r="E14" s="746">
        <f t="shared" si="2"/>
        <v>356400</v>
      </c>
      <c r="F14" s="746">
        <f t="shared" si="3"/>
        <v>23532.268370607031</v>
      </c>
      <c r="G14" s="746">
        <f t="shared" si="4"/>
        <v>5544</v>
      </c>
      <c r="H14" s="742">
        <f t="shared" ref="H14:K18" si="7">$C14*G4</f>
        <v>5544</v>
      </c>
      <c r="I14" s="742">
        <f t="shared" si="7"/>
        <v>23760</v>
      </c>
      <c r="J14" s="742">
        <f t="shared" si="7"/>
        <v>316.8</v>
      </c>
      <c r="K14" s="742">
        <f t="shared" si="7"/>
        <v>475.19999999999993</v>
      </c>
      <c r="L14" s="743">
        <f t="shared" ref="L14:L17" si="8">1.8*C14</f>
        <v>1425600</v>
      </c>
      <c r="M14" s="747">
        <f t="shared" si="6"/>
        <v>1.8</v>
      </c>
    </row>
    <row r="15" spans="1:13" x14ac:dyDescent="0.25">
      <c r="A15" s="33"/>
      <c r="B15" s="745" t="str">
        <f t="shared" si="0"/>
        <v>Pic de ponte (pondeuses)</v>
      </c>
      <c r="C15" s="741">
        <v>792000</v>
      </c>
      <c r="D15" s="746">
        <f t="shared" si="1"/>
        <v>79200</v>
      </c>
      <c r="E15" s="746">
        <f t="shared" si="2"/>
        <v>356400</v>
      </c>
      <c r="F15" s="746">
        <f t="shared" si="3"/>
        <v>23532.268370607031</v>
      </c>
      <c r="G15" s="746">
        <f t="shared" si="4"/>
        <v>5544</v>
      </c>
      <c r="H15" s="742">
        <f t="shared" si="7"/>
        <v>5544</v>
      </c>
      <c r="I15" s="742">
        <f t="shared" si="7"/>
        <v>23760</v>
      </c>
      <c r="J15" s="742">
        <f t="shared" si="7"/>
        <v>316.8</v>
      </c>
      <c r="K15" s="742">
        <f t="shared" si="7"/>
        <v>475.19999999999993</v>
      </c>
      <c r="L15" s="743">
        <f t="shared" si="8"/>
        <v>1425600</v>
      </c>
      <c r="M15" s="747">
        <f t="shared" si="6"/>
        <v>1.8</v>
      </c>
    </row>
    <row r="16" spans="1:13" x14ac:dyDescent="0.25">
      <c r="A16" s="33"/>
      <c r="B16" s="745" t="str">
        <f t="shared" si="0"/>
        <v>Chute de ponte (pondeuses)</v>
      </c>
      <c r="C16" s="741">
        <v>792000</v>
      </c>
      <c r="D16" s="746">
        <f t="shared" si="1"/>
        <v>79200</v>
      </c>
      <c r="E16" s="746">
        <f t="shared" si="2"/>
        <v>356400</v>
      </c>
      <c r="F16" s="746">
        <f t="shared" si="3"/>
        <v>23532.268370607031</v>
      </c>
      <c r="G16" s="746">
        <f t="shared" si="4"/>
        <v>5544</v>
      </c>
      <c r="H16" s="742">
        <f t="shared" si="7"/>
        <v>5544</v>
      </c>
      <c r="I16" s="742">
        <f t="shared" si="7"/>
        <v>23760</v>
      </c>
      <c r="J16" s="742">
        <f t="shared" si="7"/>
        <v>316.8</v>
      </c>
      <c r="K16" s="742">
        <f t="shared" si="7"/>
        <v>475.19999999999993</v>
      </c>
      <c r="L16" s="743">
        <f t="shared" si="8"/>
        <v>1425600</v>
      </c>
      <c r="M16" s="747">
        <f t="shared" si="6"/>
        <v>1.8</v>
      </c>
    </row>
    <row r="17" spans="1:13" x14ac:dyDescent="0.25">
      <c r="A17" s="33"/>
      <c r="B17" s="745">
        <f t="shared" si="0"/>
        <v>0</v>
      </c>
      <c r="C17" s="741"/>
      <c r="D17" s="746">
        <f t="shared" si="1"/>
        <v>0</v>
      </c>
      <c r="E17" s="746">
        <f t="shared" si="2"/>
        <v>0</v>
      </c>
      <c r="F17" s="746">
        <f t="shared" si="3"/>
        <v>0</v>
      </c>
      <c r="G17" s="746">
        <f t="shared" si="4"/>
        <v>0</v>
      </c>
      <c r="H17" s="742">
        <f t="shared" si="7"/>
        <v>0</v>
      </c>
      <c r="I17" s="742">
        <f t="shared" si="7"/>
        <v>0</v>
      </c>
      <c r="J17" s="742">
        <f t="shared" si="7"/>
        <v>0</v>
      </c>
      <c r="K17" s="742">
        <f t="shared" si="7"/>
        <v>0</v>
      </c>
      <c r="L17" s="743">
        <f t="shared" si="8"/>
        <v>0</v>
      </c>
      <c r="M17" s="747" t="str">
        <f t="shared" si="6"/>
        <v>-</v>
      </c>
    </row>
    <row r="18" spans="1:13" ht="15.75" thickBot="1" x14ac:dyDescent="0.3">
      <c r="A18" s="33"/>
      <c r="B18" s="748">
        <f t="shared" si="0"/>
        <v>0</v>
      </c>
      <c r="C18" s="741"/>
      <c r="D18" s="749">
        <f t="shared" si="1"/>
        <v>0</v>
      </c>
      <c r="E18" s="749">
        <f t="shared" si="2"/>
        <v>0</v>
      </c>
      <c r="F18" s="749">
        <f t="shared" si="3"/>
        <v>0</v>
      </c>
      <c r="G18" s="749">
        <f t="shared" si="4"/>
        <v>0</v>
      </c>
      <c r="H18" s="742">
        <f t="shared" si="7"/>
        <v>0</v>
      </c>
      <c r="I18" s="742">
        <f t="shared" si="7"/>
        <v>0</v>
      </c>
      <c r="J18" s="742">
        <f t="shared" si="7"/>
        <v>0</v>
      </c>
      <c r="K18" s="742">
        <f t="shared" si="7"/>
        <v>0</v>
      </c>
      <c r="L18" s="743"/>
      <c r="M18" s="750" t="str">
        <f t="shared" si="6"/>
        <v>-</v>
      </c>
    </row>
    <row r="19" spans="1:13" ht="15.75" thickBot="1" x14ac:dyDescent="0.3">
      <c r="A19" s="33"/>
      <c r="B19" s="751" t="s">
        <v>558</v>
      </c>
      <c r="C19" s="752">
        <f>SUM(C13:C18)</f>
        <v>2376000</v>
      </c>
      <c r="D19" s="752">
        <f t="shared" ref="D19:K19" si="9">SUM(D13:D18)</f>
        <v>237600</v>
      </c>
      <c r="E19" s="752">
        <f t="shared" si="9"/>
        <v>1069200</v>
      </c>
      <c r="F19" s="752">
        <f t="shared" si="9"/>
        <v>70596.805111821101</v>
      </c>
      <c r="G19" s="752">
        <f t="shared" si="9"/>
        <v>16632</v>
      </c>
      <c r="H19" s="752">
        <f t="shared" si="9"/>
        <v>16632</v>
      </c>
      <c r="I19" s="752">
        <f t="shared" si="9"/>
        <v>71280</v>
      </c>
      <c r="J19" s="752">
        <f t="shared" si="9"/>
        <v>950.40000000000009</v>
      </c>
      <c r="K19" s="752">
        <f t="shared" si="9"/>
        <v>1425.6</v>
      </c>
      <c r="L19" s="753">
        <f>SUM(L13:L18)</f>
        <v>4276800</v>
      </c>
      <c r="M19" s="754">
        <f t="shared" si="6"/>
        <v>1.8</v>
      </c>
    </row>
    <row r="20" spans="1:13" x14ac:dyDescent="0.25">
      <c r="A20" s="33"/>
      <c r="B20" s="33"/>
      <c r="C20" s="33"/>
      <c r="D20" s="33"/>
      <c r="E20" s="33"/>
      <c r="F20" s="33"/>
      <c r="G20" s="33"/>
      <c r="H20" s="33"/>
      <c r="I20" s="33"/>
      <c r="J20" s="33"/>
      <c r="K20" s="33"/>
      <c r="L20" s="33"/>
      <c r="M20" s="33"/>
    </row>
    <row r="21" spans="1:13" x14ac:dyDescent="0.25">
      <c r="A21" s="33"/>
      <c r="B21" s="33"/>
      <c r="C21" s="33"/>
      <c r="D21" s="33"/>
      <c r="E21" s="33"/>
      <c r="F21" s="33"/>
      <c r="G21" s="33"/>
      <c r="H21" s="33"/>
      <c r="I21" s="33"/>
      <c r="J21" s="33"/>
      <c r="K21" s="33"/>
      <c r="L21" s="33"/>
      <c r="M21" s="33"/>
    </row>
    <row r="22" spans="1:13" x14ac:dyDescent="0.25">
      <c r="A22" s="280"/>
      <c r="B22" s="280"/>
      <c r="C22" s="280"/>
      <c r="D22" s="280"/>
      <c r="E22" s="280"/>
      <c r="F22" s="280"/>
      <c r="G22" s="280"/>
      <c r="H22" s="280"/>
      <c r="I22" s="280"/>
      <c r="J22" s="280"/>
      <c r="K22" s="280"/>
      <c r="L22" s="280"/>
      <c r="M22" s="280"/>
    </row>
    <row r="23" spans="1:13" x14ac:dyDescent="0.25">
      <c r="A23" s="280"/>
      <c r="B23" s="280"/>
      <c r="C23" s="280"/>
      <c r="D23" s="280"/>
      <c r="E23" s="280"/>
      <c r="F23" s="280"/>
      <c r="G23" s="280"/>
      <c r="H23" s="280"/>
      <c r="I23" s="280"/>
      <c r="J23" s="280"/>
      <c r="K23" s="280"/>
      <c r="L23" s="280"/>
      <c r="M23" s="280"/>
    </row>
    <row r="24" spans="1:13" s="903" customFormat="1" x14ac:dyDescent="0.25"/>
    <row r="25" spans="1:13" s="903" customFormat="1" x14ac:dyDescent="0.25"/>
    <row r="26" spans="1:13" s="903" customFormat="1" x14ac:dyDescent="0.25"/>
    <row r="27" spans="1:13" s="903" customFormat="1" x14ac:dyDescent="0.25"/>
    <row r="28" spans="1:13" s="903" customFormat="1" x14ac:dyDescent="0.25"/>
    <row r="29" spans="1:13" s="903" customFormat="1" x14ac:dyDescent="0.25"/>
    <row r="30" spans="1:13" s="903" customFormat="1" x14ac:dyDescent="0.25"/>
    <row r="31" spans="1:13" s="903" customFormat="1" x14ac:dyDescent="0.25"/>
    <row r="32" spans="1:13" s="903" customFormat="1" x14ac:dyDescent="0.25"/>
    <row r="33" s="903" customFormat="1" x14ac:dyDescent="0.25"/>
    <row r="34" s="903" customFormat="1" x14ac:dyDescent="0.25"/>
    <row r="35" s="903" customFormat="1" x14ac:dyDescent="0.25"/>
    <row r="36" s="903" customFormat="1" x14ac:dyDescent="0.25"/>
    <row r="37" s="903" customFormat="1" x14ac:dyDescent="0.25"/>
    <row r="38" s="903" customFormat="1" x14ac:dyDescent="0.25"/>
    <row r="39" s="903" customFormat="1" x14ac:dyDescent="0.25"/>
    <row r="40" s="903" customFormat="1" x14ac:dyDescent="0.25"/>
    <row r="41" s="903" customFormat="1" x14ac:dyDescent="0.25"/>
    <row r="42" s="903" customFormat="1" x14ac:dyDescent="0.25"/>
    <row r="43" s="903" customFormat="1" x14ac:dyDescent="0.25"/>
    <row r="44" s="903" customFormat="1" x14ac:dyDescent="0.25"/>
    <row r="45" s="903" customFormat="1" x14ac:dyDescent="0.25"/>
    <row r="46" s="903" customFormat="1" x14ac:dyDescent="0.25"/>
    <row r="47" s="903" customFormat="1" x14ac:dyDescent="0.25"/>
    <row r="48" s="903" customFormat="1" x14ac:dyDescent="0.25"/>
    <row r="49" s="903" customFormat="1" x14ac:dyDescent="0.25"/>
    <row r="50" s="903" customFormat="1" x14ac:dyDescent="0.25"/>
    <row r="51" s="903" customFormat="1" x14ac:dyDescent="0.25"/>
    <row r="52" s="903" customFormat="1" x14ac:dyDescent="0.25"/>
    <row r="53" s="903" customFormat="1" x14ac:dyDescent="0.25"/>
    <row r="54" s="903" customFormat="1" x14ac:dyDescent="0.25"/>
    <row r="55" s="903" customFormat="1" x14ac:dyDescent="0.25"/>
    <row r="56" s="903" customFormat="1" x14ac:dyDescent="0.25"/>
    <row r="57" s="903" customFormat="1" x14ac:dyDescent="0.25"/>
    <row r="58" s="903" customFormat="1" x14ac:dyDescent="0.25"/>
    <row r="59" s="903" customFormat="1" x14ac:dyDescent="0.25"/>
    <row r="60" s="903" customFormat="1" x14ac:dyDescent="0.25"/>
    <row r="61" s="903" customFormat="1" x14ac:dyDescent="0.25"/>
    <row r="62" s="903" customFormat="1" x14ac:dyDescent="0.25"/>
    <row r="63" s="903" customFormat="1" x14ac:dyDescent="0.25"/>
    <row r="64" s="903" customFormat="1" x14ac:dyDescent="0.25"/>
    <row r="65" s="903" customFormat="1" x14ac:dyDescent="0.25"/>
    <row r="66" s="903" customFormat="1" x14ac:dyDescent="0.25"/>
    <row r="67" s="903" customFormat="1" x14ac:dyDescent="0.25"/>
    <row r="68" s="903" customFormat="1" x14ac:dyDescent="0.25"/>
    <row r="69" s="903" customFormat="1" x14ac:dyDescent="0.25"/>
    <row r="70" s="903" customFormat="1" x14ac:dyDescent="0.25"/>
    <row r="71" s="903" customFormat="1" x14ac:dyDescent="0.25"/>
    <row r="72" s="903" customFormat="1" x14ac:dyDescent="0.25"/>
    <row r="73" s="903" customFormat="1" x14ac:dyDescent="0.25"/>
    <row r="74" s="903" customFormat="1" x14ac:dyDescent="0.25"/>
    <row r="75" s="903" customFormat="1" x14ac:dyDescent="0.25"/>
    <row r="76" s="903" customFormat="1" x14ac:dyDescent="0.25"/>
    <row r="77" s="903" customFormat="1" x14ac:dyDescent="0.25"/>
    <row r="78" s="903" customFormat="1" x14ac:dyDescent="0.25"/>
    <row r="79" s="903" customFormat="1" x14ac:dyDescent="0.25"/>
  </sheetData>
  <mergeCells count="1">
    <mergeCell ref="L2:M2"/>
  </mergeCells>
  <dataValidations count="1">
    <dataValidation type="list" allowBlank="1" showInputMessage="1" showErrorMessage="1" sqref="B4:B8">
      <formula1>phase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182"/>
  <sheetViews>
    <sheetView showGridLines="0" showRowColHeaders="0" workbookViewId="0">
      <selection activeCell="B11" sqref="B11"/>
    </sheetView>
  </sheetViews>
  <sheetFormatPr baseColWidth="10" defaultRowHeight="15" x14ac:dyDescent="0.25"/>
  <cols>
    <col min="1" max="1" width="24.140625" customWidth="1"/>
    <col min="12" max="12" width="16.28515625" customWidth="1"/>
    <col min="13" max="13" width="16" customWidth="1"/>
    <col min="14" max="14" width="14.85546875" customWidth="1"/>
    <col min="15" max="15" width="14.28515625" customWidth="1"/>
    <col min="24" max="57" width="11.42578125" style="903"/>
  </cols>
  <sheetData>
    <row r="1" spans="1:22" ht="15.75" thickBot="1" x14ac:dyDescent="0.3">
      <c r="A1" s="229"/>
      <c r="B1" s="229"/>
      <c r="C1" s="340"/>
      <c r="D1" s="340"/>
      <c r="E1" s="340"/>
      <c r="F1" s="340"/>
      <c r="G1" s="340"/>
      <c r="H1" s="340"/>
      <c r="I1" s="229"/>
      <c r="J1" s="229"/>
      <c r="K1" s="229"/>
      <c r="L1" s="229"/>
      <c r="M1" s="229"/>
      <c r="N1" s="229"/>
      <c r="O1" s="229"/>
    </row>
    <row r="2" spans="1:22" ht="15.75" thickBot="1" x14ac:dyDescent="0.3">
      <c r="A2" s="229"/>
      <c r="B2" s="662" t="s">
        <v>838</v>
      </c>
      <c r="C2" s="666" t="s">
        <v>839</v>
      </c>
      <c r="D2" s="666" t="s">
        <v>840</v>
      </c>
      <c r="E2" s="666" t="s">
        <v>841</v>
      </c>
      <c r="F2" s="666" t="s">
        <v>842</v>
      </c>
      <c r="G2" s="666" t="s">
        <v>843</v>
      </c>
      <c r="H2" s="665" t="s">
        <v>1152</v>
      </c>
      <c r="I2" s="666" t="s">
        <v>1153</v>
      </c>
      <c r="J2" s="663" t="s">
        <v>1154</v>
      </c>
      <c r="K2" s="229"/>
      <c r="L2" s="340"/>
      <c r="M2" s="486" t="s">
        <v>838</v>
      </c>
      <c r="N2" s="487" t="s">
        <v>839</v>
      </c>
      <c r="O2" s="487" t="s">
        <v>840</v>
      </c>
      <c r="P2" s="487" t="s">
        <v>841</v>
      </c>
      <c r="Q2" s="487" t="s">
        <v>842</v>
      </c>
      <c r="R2" s="487" t="s">
        <v>843</v>
      </c>
      <c r="S2" s="487" t="s">
        <v>1152</v>
      </c>
      <c r="T2" s="487" t="s">
        <v>1153</v>
      </c>
      <c r="U2" s="488" t="s">
        <v>1154</v>
      </c>
      <c r="V2" s="229"/>
    </row>
    <row r="3" spans="1:22" x14ac:dyDescent="0.25">
      <c r="A3" s="755" t="s">
        <v>851</v>
      </c>
      <c r="B3" s="756">
        <f>'Alim Avi'!C19*AVERAGE('Alim Avi'!D3:D8)*'Effectif Avi'!B7</f>
        <v>2138400</v>
      </c>
      <c r="C3" s="757">
        <f>('Alim Avi'!L19+('Alim Avi'!C19-B3))*'Effectif Avi'!B7</f>
        <v>4514400</v>
      </c>
      <c r="D3" s="757">
        <f>'Effectif Avi'!B7*'Alim Avi'!E19</f>
        <v>1069200</v>
      </c>
      <c r="E3" s="757">
        <f>'Alim Avi'!F19*'Effectif Avi'!$B$7</f>
        <v>70596.805111821101</v>
      </c>
      <c r="F3" s="757">
        <f>'Alim Avi'!G19*'Effectif Avi'!$B$7</f>
        <v>16632</v>
      </c>
      <c r="G3" s="757">
        <f>'Alim Avi'!H19*'Effectif Avi'!$B$7</f>
        <v>16632</v>
      </c>
      <c r="H3" s="757">
        <f>'Alim Avi'!I19*'Effectif Avi'!$B$7</f>
        <v>71280</v>
      </c>
      <c r="I3" s="757">
        <f>'Alim Avi'!J19*'Effectif Avi'!$B$7</f>
        <v>950.40000000000009</v>
      </c>
      <c r="J3" s="757">
        <f>'Alim Avi'!K19*'Effectif Avi'!$B$7</f>
        <v>1425.6</v>
      </c>
      <c r="K3" s="229"/>
      <c r="L3" s="758" t="s">
        <v>858</v>
      </c>
      <c r="M3" s="756">
        <f>'Effectif Avi'!J30*VLOOKUP('Effectif Avi'!$E$3,Param_volailles!$A$47:$H$52,8,FALSE)*'Effectif Avi'!$B$7</f>
        <v>26928.000000000004</v>
      </c>
      <c r="N3" s="757">
        <f>('Effectif Avi'!J30*'Effectif Avi'!B7-M3)*'Effectif Avi'!$B$7</f>
        <v>12671.999999999996</v>
      </c>
      <c r="O3" s="757">
        <f>M3/2</f>
        <v>13464.000000000002</v>
      </c>
      <c r="P3" s="757">
        <f>'Effectif Avi'!$J$30*VLOOKUP('Effectif Avi'!$E$3,Param_volailles!$A$47:$H$52,2,FALSE)*'Effectif Avi'!$B$7/1000</f>
        <v>1419.2640000000001</v>
      </c>
      <c r="Q3" s="757">
        <f>'Effectif Avi'!$J$30*VLOOKUP('Effectif Avi'!$E$3,Param_volailles!$A$47:$H$52,3,FALSE)*'Effectif Avi'!$B$7/1000</f>
        <v>209.88</v>
      </c>
      <c r="R3" s="757">
        <f>'Effectif Avi'!$J$30*VLOOKUP('Effectif Avi'!$E$3,Param_volailles!$A$47:$H$52,4,FALSE)*'Effectif Avi'!$B$7/1000</f>
        <v>79.2</v>
      </c>
      <c r="S3" s="757">
        <f>'Effectif Avi'!$J$30*VLOOKUP('Effectif Avi'!$E$3,Param_volailles!$A$47:$H$52,5,FALSE)*'Effectif Avi'!$B$7/1000</f>
        <v>475.2</v>
      </c>
      <c r="T3" s="757">
        <f>'Effectif Avi'!$J$30*VLOOKUP('Effectif Avi'!$E$3,Param_volailles!$A$47:$H$52,6,FALSE)*'Effectif Avi'!$B$7/1000</f>
        <v>5.5439999999999996E-2</v>
      </c>
      <c r="U3" s="757">
        <f>'Effectif Avi'!$J$30*VLOOKUP('Effectif Avi'!$E$3,Param_volailles!$A$47:$H$52,7,FALSE)*'Effectif Avi'!$B$7/1000</f>
        <v>0.87119999999999997</v>
      </c>
      <c r="V3" s="229"/>
    </row>
    <row r="4" spans="1:22" x14ac:dyDescent="0.25">
      <c r="A4" s="759" t="s">
        <v>852</v>
      </c>
      <c r="B4" s="760">
        <f>IF(ISBLANK('Effectif Avi'!A15),0,(VLOOKUP('Effectif Avi'!A15,Param_volailles!A17:B19,2,FALSE)/100)*'Effectif Avi'!B15*1000)</f>
        <v>0</v>
      </c>
      <c r="C4" s="761">
        <f>'Effectif Avi'!B15*1000-'Excretion Avi'!B4</f>
        <v>0</v>
      </c>
      <c r="D4" s="761">
        <f>IF(ISBLANK('Effectif Avi'!A15),0,VLOOKUP('Effectif Avi'!$A$15,Param_volailles!$A$17:$G$19,4,FALSE)*'Effectif Avi'!$B$15*1000)</f>
        <v>0</v>
      </c>
      <c r="E4" s="761">
        <f>IF(ISBLANK('Effectif Avi'!$A$15),0,VLOOKUP('Effectif Avi'!$A$15,Param_volailles!$A$17:$G$19,5,FALSE)*'Effectif Avi'!$B$15)</f>
        <v>0</v>
      </c>
      <c r="F4" s="761">
        <f>IF(ISBLANK('Effectif Avi'!$A$15),0,VLOOKUP('Effectif Avi'!$A$15,Param_volailles!$A$17:$G$19,6,FALSE)*'Effectif Avi'!$B$15)</f>
        <v>0</v>
      </c>
      <c r="G4" s="761">
        <f>IF(ISBLANK('Effectif Avi'!$A$15),0,VLOOKUP('Effectif Avi'!$A$15,Param_volailles!$A$17:$G$19,7,FALSE)*'Effectif Avi'!$B$15)</f>
        <v>0</v>
      </c>
      <c r="H4" s="483"/>
      <c r="I4" s="483"/>
      <c r="J4" s="762"/>
      <c r="K4" s="229"/>
      <c r="L4" s="763" t="s">
        <v>863</v>
      </c>
      <c r="M4" s="760">
        <f>IF('Effectif Avi'!E3=Param_volailles!A62,'Effectif Avi'!$B$8*VLOOKUP('Effectif Avi'!$E$3,Param_volailles!$A$52:$H$52,8,FALSE),0)</f>
        <v>0</v>
      </c>
      <c r="N4" s="761">
        <f>'Effectif Avi'!B8-M4</f>
        <v>1200000</v>
      </c>
      <c r="O4" s="761">
        <f>M4/2</f>
        <v>0</v>
      </c>
      <c r="P4" s="761">
        <f>IF('Effectif Avi'!$E$3=Param_volailles!$A$62,'Effectif Avi'!$B$8*VLOOKUP('Effectif Avi'!$E$3,Param_volailles!$A$52:$H$52,2,FALSE),0)/1000</f>
        <v>0</v>
      </c>
      <c r="Q4" s="761">
        <f>IF('Effectif Avi'!$E$3=Param_volailles!$A$62,'Effectif Avi'!$B$8*VLOOKUP('Effectif Avi'!$E$3,Param_volailles!$A$52:$H$52,3,FALSE),0)/1000</f>
        <v>0</v>
      </c>
      <c r="R4" s="761">
        <f>IF('Effectif Avi'!$E$3=Param_volailles!$A$62,'Effectif Avi'!$B$8*VLOOKUP('Effectif Avi'!$E$3,Param_volailles!$A$52:$H$52,4,FALSE),0)/1000</f>
        <v>0</v>
      </c>
      <c r="S4" s="761">
        <f>IF('Effectif Avi'!$E$3=Param_volailles!$A$62,'Effectif Avi'!$B$8*VLOOKUP('Effectif Avi'!$E$3,Param_volailles!$A$52:$H$52,5,FALSE),0)/1000</f>
        <v>0</v>
      </c>
      <c r="T4" s="761">
        <f>IF('Effectif Avi'!$E$3=Param_volailles!$A$62,'Effectif Avi'!$B$8*VLOOKUP('Effectif Avi'!$E$3,Param_volailles!$A$52:$H$52,6,FALSE),0)/1000</f>
        <v>0</v>
      </c>
      <c r="U4" s="761">
        <f>IF('Effectif Avi'!$E$3=Param_volailles!$A$62,'Effectif Avi'!$B$8*VLOOKUP('Effectif Avi'!$E$3,Param_volailles!$A$52:$H$52,7,FALSE),0)/1000</f>
        <v>0</v>
      </c>
      <c r="V4" s="229"/>
    </row>
    <row r="5" spans="1:22" ht="15.75" thickBot="1" x14ac:dyDescent="0.3">
      <c r="A5" s="759" t="s">
        <v>853</v>
      </c>
      <c r="B5" s="760">
        <f>('Effectif Avi'!$B$30+'Effectif Avi'!$B$31)*'Effectif Avi'!$B$3*VLOOKUP('Effectif Avi'!$E$3,Param_volailles!$A$47:$H$52,8,FALSE)*'Effectif Avi'!$B$7</f>
        <v>23936</v>
      </c>
      <c r="C5" s="761">
        <f>(('Effectif Avi'!B30+'Effectif Avi'!B31)*'Effectif Avi'!B3*'Effectif Avi'!B7)-B5</f>
        <v>11264</v>
      </c>
      <c r="D5" s="761">
        <f>B5/2</f>
        <v>11968</v>
      </c>
      <c r="E5" s="761">
        <f>('Effectif Avi'!$B$30+'Effectif Avi'!$B$31)*'Effectif Avi'!$B$3*VLOOKUP('Effectif Avi'!$E$3,Param_volailles!$A$47:$H$52,2,FALSE)*'Effectif Avi'!$B$7/1000</f>
        <v>1261.5680000000002</v>
      </c>
      <c r="F5" s="761">
        <f>('Effectif Avi'!$B$30+'Effectif Avi'!$B$31)*'Effectif Avi'!$B$3*VLOOKUP('Effectif Avi'!$E$3,Param_volailles!$A$47:$H$52,3,FALSE)*'Effectif Avi'!$B$7/1000</f>
        <v>186.56</v>
      </c>
      <c r="G5" s="761">
        <f>('Effectif Avi'!$B$30+'Effectif Avi'!$B$31)*'Effectif Avi'!$B$3*VLOOKUP('Effectif Avi'!$E$3,Param_volailles!$A$47:$H$52,4,FALSE)*'Effectif Avi'!$B$7/1000</f>
        <v>70.400000000000006</v>
      </c>
      <c r="H5" s="761">
        <f>('Effectif Avi'!$B$30+'Effectif Avi'!$B$31)*'Effectif Avi'!$B$3*VLOOKUP('Effectif Avi'!$E$3,Param_volailles!$A$47:$H$52,5,FALSE)*'Effectif Avi'!$B$7/1000</f>
        <v>422.4</v>
      </c>
      <c r="I5" s="761">
        <f>('Effectif Avi'!$B$30+'Effectif Avi'!$B$31)*'Effectif Avi'!$B$3*VLOOKUP('Effectif Avi'!$E$3,Param_volailles!$A$47:$H$52,6,FALSE)*'Effectif Avi'!$B$7/1000</f>
        <v>4.9280000000000004E-2</v>
      </c>
      <c r="J5" s="761">
        <f>('Effectif Avi'!$B$30+'Effectif Avi'!$B$31)*'Effectif Avi'!$B$3*VLOOKUP('Effectif Avi'!$E$3,Param_volailles!$A$47:$H$52,7,FALSE)*'Effectif Avi'!$B$7/1000</f>
        <v>0.77439999999999998</v>
      </c>
      <c r="K5" s="229"/>
      <c r="L5" s="764" t="s">
        <v>903</v>
      </c>
      <c r="M5" s="765">
        <f>M3+M4</f>
        <v>26928.000000000004</v>
      </c>
      <c r="N5" s="766">
        <f t="shared" ref="N5:U5" si="0">N3+N4</f>
        <v>1212672</v>
      </c>
      <c r="O5" s="766">
        <f t="shared" si="0"/>
        <v>13464.000000000002</v>
      </c>
      <c r="P5" s="766">
        <f t="shared" si="0"/>
        <v>1419.2640000000001</v>
      </c>
      <c r="Q5" s="766">
        <f t="shared" si="0"/>
        <v>209.88</v>
      </c>
      <c r="R5" s="766">
        <f t="shared" si="0"/>
        <v>79.2</v>
      </c>
      <c r="S5" s="766">
        <f t="shared" si="0"/>
        <v>475.2</v>
      </c>
      <c r="T5" s="820">
        <f t="shared" si="0"/>
        <v>5.5439999999999996E-2</v>
      </c>
      <c r="U5" s="821">
        <f t="shared" si="0"/>
        <v>0.87119999999999997</v>
      </c>
      <c r="V5" s="229"/>
    </row>
    <row r="6" spans="1:22" ht="15.75" thickBot="1" x14ac:dyDescent="0.3">
      <c r="A6" s="767" t="s">
        <v>837</v>
      </c>
      <c r="B6" s="768">
        <f t="shared" ref="B6:J6" si="1">B5+B4+B3</f>
        <v>2162336</v>
      </c>
      <c r="C6" s="769">
        <f t="shared" si="1"/>
        <v>4525664</v>
      </c>
      <c r="D6" s="769">
        <f t="shared" si="1"/>
        <v>1081168</v>
      </c>
      <c r="E6" s="769">
        <f t="shared" si="1"/>
        <v>71858.3731118211</v>
      </c>
      <c r="F6" s="769">
        <f t="shared" si="1"/>
        <v>16818.560000000001</v>
      </c>
      <c r="G6" s="769">
        <f t="shared" si="1"/>
        <v>16702.400000000001</v>
      </c>
      <c r="H6" s="769">
        <f t="shared" si="1"/>
        <v>71702.399999999994</v>
      </c>
      <c r="I6" s="769">
        <f t="shared" si="1"/>
        <v>950.44928000000004</v>
      </c>
      <c r="J6" s="770">
        <f t="shared" si="1"/>
        <v>1426.3743999999999</v>
      </c>
      <c r="K6" s="229"/>
      <c r="L6" s="229"/>
      <c r="M6" s="229"/>
      <c r="N6" s="229"/>
      <c r="O6" s="340"/>
      <c r="P6" s="340"/>
      <c r="Q6" s="340"/>
      <c r="R6" s="340"/>
      <c r="S6" s="340"/>
      <c r="T6" s="340"/>
      <c r="U6" s="340"/>
      <c r="V6" s="229"/>
    </row>
    <row r="7" spans="1:22" x14ac:dyDescent="0.25">
      <c r="A7" s="229"/>
      <c r="B7" s="229"/>
      <c r="C7" s="229"/>
      <c r="D7" s="229"/>
      <c r="E7" s="229"/>
      <c r="F7" s="229"/>
      <c r="G7" s="229"/>
      <c r="H7" s="340"/>
      <c r="I7" s="229"/>
      <c r="J7" s="229"/>
      <c r="K7" s="229"/>
      <c r="L7" s="229"/>
      <c r="M7" s="229"/>
      <c r="N7" s="229"/>
      <c r="O7" s="340" t="s">
        <v>1155</v>
      </c>
      <c r="P7" s="229"/>
      <c r="Q7" s="229"/>
      <c r="R7" s="229"/>
      <c r="S7" s="229"/>
      <c r="T7" s="229"/>
      <c r="U7" s="229"/>
      <c r="V7" s="229"/>
    </row>
    <row r="8" spans="1:22" ht="15.75" thickBot="1" x14ac:dyDescent="0.3">
      <c r="A8" s="229"/>
      <c r="B8" s="229"/>
      <c r="C8" s="340"/>
      <c r="D8" s="489"/>
      <c r="E8" s="489"/>
      <c r="F8" s="340"/>
      <c r="G8" s="340"/>
      <c r="H8" s="340"/>
      <c r="I8" s="340"/>
      <c r="J8" s="340"/>
      <c r="K8" s="340"/>
      <c r="L8" s="340"/>
      <c r="M8" s="340"/>
      <c r="N8" s="340"/>
      <c r="O8" s="340"/>
    </row>
    <row r="9" spans="1:22" ht="15.75" thickBot="1" x14ac:dyDescent="0.3">
      <c r="A9" s="1033" t="s">
        <v>971</v>
      </c>
      <c r="B9" s="229"/>
      <c r="C9" s="229"/>
      <c r="D9" s="495" t="s">
        <v>844</v>
      </c>
      <c r="E9" s="486" t="s">
        <v>838</v>
      </c>
      <c r="F9" s="487" t="s">
        <v>839</v>
      </c>
      <c r="G9" s="487" t="s">
        <v>840</v>
      </c>
      <c r="H9" s="487" t="s">
        <v>841</v>
      </c>
      <c r="I9" s="487" t="s">
        <v>842</v>
      </c>
      <c r="J9" s="487" t="s">
        <v>843</v>
      </c>
      <c r="K9" s="487" t="s">
        <v>1152</v>
      </c>
      <c r="L9" s="487" t="s">
        <v>1153</v>
      </c>
      <c r="M9" s="488" t="s">
        <v>1154</v>
      </c>
      <c r="N9" s="229"/>
      <c r="O9" s="340"/>
    </row>
    <row r="10" spans="1:22" ht="15.75" thickBot="1" x14ac:dyDescent="0.3">
      <c r="A10" s="399">
        <f>IF(ISBLANK('Effectif Avi'!C23),'Effectif Avi'!B23,'Effectif Avi'!C23)</f>
        <v>313.5</v>
      </c>
      <c r="B10" s="229"/>
      <c r="C10" s="229"/>
      <c r="D10" s="229"/>
      <c r="E10" s="392">
        <f t="shared" ref="E10:M10" si="2">B6-M5</f>
        <v>2135408</v>
      </c>
      <c r="F10" s="393">
        <f t="shared" si="2"/>
        <v>3312992</v>
      </c>
      <c r="G10" s="393">
        <f t="shared" si="2"/>
        <v>1067704</v>
      </c>
      <c r="H10" s="393">
        <f t="shared" si="2"/>
        <v>70439.109111821104</v>
      </c>
      <c r="I10" s="393">
        <f t="shared" si="2"/>
        <v>16608.68</v>
      </c>
      <c r="J10" s="393">
        <f t="shared" si="2"/>
        <v>16623.2</v>
      </c>
      <c r="K10" s="393">
        <f t="shared" si="2"/>
        <v>71227.199999999997</v>
      </c>
      <c r="L10" s="393">
        <f>I6-T5</f>
        <v>950.39384000000007</v>
      </c>
      <c r="M10" s="394">
        <f t="shared" si="2"/>
        <v>1425.5031999999999</v>
      </c>
      <c r="N10" s="229"/>
      <c r="O10" s="340"/>
    </row>
    <row r="11" spans="1:22" x14ac:dyDescent="0.25">
      <c r="A11" s="229"/>
      <c r="B11" s="229"/>
      <c r="C11" s="229"/>
      <c r="D11" s="484"/>
      <c r="E11" s="485"/>
      <c r="F11" s="496"/>
      <c r="G11" s="485"/>
      <c r="H11" s="485"/>
      <c r="I11" s="485"/>
      <c r="J11" s="485"/>
      <c r="K11" s="229"/>
      <c r="L11" s="229"/>
      <c r="M11" s="229"/>
      <c r="N11" s="229"/>
      <c r="O11" s="340"/>
    </row>
    <row r="12" spans="1:22" ht="15.75" thickBot="1" x14ac:dyDescent="0.3">
      <c r="A12" s="340"/>
      <c r="B12" s="340"/>
      <c r="C12" s="340"/>
      <c r="D12" s="340"/>
      <c r="E12" s="340"/>
      <c r="F12" s="340"/>
      <c r="G12" s="340"/>
      <c r="H12" s="340"/>
      <c r="I12" s="340"/>
      <c r="J12" s="340"/>
      <c r="K12" s="340"/>
      <c r="L12" s="340"/>
      <c r="M12" s="340"/>
      <c r="N12" s="340"/>
      <c r="O12" s="340"/>
    </row>
    <row r="13" spans="1:22" ht="15.75" thickBot="1" x14ac:dyDescent="0.3">
      <c r="A13" s="229"/>
      <c r="B13" s="771"/>
      <c r="C13" s="772"/>
      <c r="D13" s="773" t="s">
        <v>850</v>
      </c>
      <c r="E13" s="774" t="s">
        <v>841</v>
      </c>
      <c r="F13" s="775" t="s">
        <v>842</v>
      </c>
      <c r="G13" s="775" t="s">
        <v>843</v>
      </c>
      <c r="H13" s="775" t="s">
        <v>1152</v>
      </c>
      <c r="I13" s="775" t="s">
        <v>1153</v>
      </c>
      <c r="J13" s="775" t="s">
        <v>1154</v>
      </c>
      <c r="K13" s="775" t="s">
        <v>1156</v>
      </c>
      <c r="L13" s="775" t="s">
        <v>899</v>
      </c>
      <c r="M13" s="775" t="s">
        <v>840</v>
      </c>
      <c r="N13" s="775" t="s">
        <v>1087</v>
      </c>
      <c r="O13" s="776" t="s">
        <v>477</v>
      </c>
    </row>
    <row r="14" spans="1:22" x14ac:dyDescent="0.25">
      <c r="A14" s="1163" t="s">
        <v>895</v>
      </c>
      <c r="B14" s="1164"/>
      <c r="C14" s="1165"/>
      <c r="D14" s="777" t="str">
        <f>'Effectif Avi'!A23</f>
        <v>Fumier</v>
      </c>
      <c r="E14" s="778">
        <f>H10*(1-VLOOKUP(D14,Param_volailles!A33:D35,2,FALSE))</f>
        <v>47898.59419603835</v>
      </c>
      <c r="F14" s="779">
        <f>I10</f>
        <v>16608.68</v>
      </c>
      <c r="G14" s="779">
        <f>J10</f>
        <v>16623.2</v>
      </c>
      <c r="H14" s="780">
        <f>K10</f>
        <v>71227.199999999997</v>
      </c>
      <c r="I14" s="780">
        <f>L10</f>
        <v>950.39384000000007</v>
      </c>
      <c r="J14" s="780">
        <f>M10</f>
        <v>1425.5031999999999</v>
      </c>
      <c r="K14" s="781">
        <f>IF('Feuille saisie commune'!$C$19=Param_volailles!$A$7, VLOOKUP('Feuille saisie commune'!$F$19,Param_volailles!$C$10:$F$12,4,FALSE), VLOOKUP('Feuille saisie commune'!$C$19,Param_volailles!A58:F62,4,FALSE))</f>
        <v>0.52</v>
      </c>
      <c r="L14" s="779">
        <f>VLOOKUP('Effectif Avi'!$E$3,Param_volailles!$A$58:$F$62,5,FALSE)*$A$10*K14*1000</f>
        <v>45645.600000000006</v>
      </c>
      <c r="M14" s="779">
        <f>O14*1000*K14/2</f>
        <v>101887.5</v>
      </c>
      <c r="N14" s="782">
        <f>M14/E14</f>
        <v>2.1271501118174156</v>
      </c>
      <c r="O14" s="783">
        <f>O15*K15/K14</f>
        <v>391.875</v>
      </c>
    </row>
    <row r="15" spans="1:22" x14ac:dyDescent="0.25">
      <c r="A15" s="1166" t="s">
        <v>897</v>
      </c>
      <c r="B15" s="1167"/>
      <c r="C15" s="1168"/>
      <c r="D15" s="784" t="str">
        <f>D14</f>
        <v>Fumier</v>
      </c>
      <c r="E15" s="785">
        <f>E14*(1-VLOOKUP(D14,Param_volailles!A33:D35,3,FALSE))</f>
        <v>40713.805066632594</v>
      </c>
      <c r="F15" s="786">
        <f>F14</f>
        <v>16608.68</v>
      </c>
      <c r="G15" s="786">
        <f>G14</f>
        <v>16623.2</v>
      </c>
      <c r="H15" s="786">
        <f t="shared" ref="H15:J16" si="3">H14</f>
        <v>71227.199999999997</v>
      </c>
      <c r="I15" s="786">
        <f t="shared" si="3"/>
        <v>950.39384000000007</v>
      </c>
      <c r="J15" s="786">
        <f t="shared" si="3"/>
        <v>1425.5031999999999</v>
      </c>
      <c r="K15" s="787">
        <f>IF('Feuille saisie commune'!$C$19=Param_volailles!$A$7, VLOOKUP('Feuille saisie commune'!$F$19,Param_volailles!$C$10:$H$12,5,FALSE), VLOOKUP('Feuille saisie commune'!$F$19,Param_volailles!$C$2:$G$12,4,FALSE))</f>
        <v>0.65</v>
      </c>
      <c r="L15" s="788">
        <f>VLOOKUP('Effectif Avi'!$E$3,Param_volailles!$A$58:$F$62,5,FALSE)*$A$10*K15*1000</f>
        <v>57057.000000000007</v>
      </c>
      <c r="M15" s="746">
        <f>L15/2</f>
        <v>28528.500000000004</v>
      </c>
      <c r="N15" s="789">
        <f>M15/E15</f>
        <v>0.70070827212809006</v>
      </c>
      <c r="O15" s="762">
        <f>A10</f>
        <v>313.5</v>
      </c>
    </row>
    <row r="16" spans="1:22" ht="15.75" thickBot="1" x14ac:dyDescent="0.3">
      <c r="A16" s="1169" t="s">
        <v>1157</v>
      </c>
      <c r="B16" s="1170"/>
      <c r="C16" s="1171"/>
      <c r="D16" s="790" t="str">
        <f>D15</f>
        <v>Fumier</v>
      </c>
      <c r="E16" s="791">
        <f>E14*(1-VLOOKUP(D14,Param_volailles!A33:H35,4,FALSE))</f>
        <v>21554.367388217255</v>
      </c>
      <c r="F16" s="792">
        <f>F15</f>
        <v>16608.68</v>
      </c>
      <c r="G16" s="792">
        <f>G15*(1-VLOOKUP(D16,[1]Param_volailles!A33:H35,7,FALSE))</f>
        <v>10805.080000000002</v>
      </c>
      <c r="H16" s="792">
        <f t="shared" si="3"/>
        <v>71227.199999999997</v>
      </c>
      <c r="I16" s="792">
        <f t="shared" si="3"/>
        <v>950.39384000000007</v>
      </c>
      <c r="J16" s="792">
        <f t="shared" si="3"/>
        <v>1425.5031999999999</v>
      </c>
      <c r="K16" s="793">
        <f>K15*0.9</f>
        <v>0.58500000000000008</v>
      </c>
      <c r="L16" s="794">
        <f>VLOOKUP('Effectif Avi'!$E$3,Param_volailles!$A$58:$F$62,5,FALSE)*$O$16*K16*1000</f>
        <v>32094.562500000011</v>
      </c>
      <c r="M16" s="795">
        <f>M14*VLOOKUP(D16,Param_volailles!A33:H35,5,FALSE)</f>
        <v>50943.75</v>
      </c>
      <c r="N16" s="796">
        <f>M16/E16</f>
        <v>2.3635001242415732</v>
      </c>
      <c r="O16" s="797">
        <f>O14*(1-VLOOKUP(D16,Param_volailles!A33:H35,6,FALSE))</f>
        <v>195.9375</v>
      </c>
    </row>
    <row r="17" spans="1:15" x14ac:dyDescent="0.25">
      <c r="A17" s="340"/>
      <c r="B17" s="340"/>
      <c r="C17" s="340"/>
      <c r="D17" s="340"/>
      <c r="E17" s="340"/>
      <c r="F17" s="340"/>
      <c r="G17" s="340"/>
      <c r="H17" s="340"/>
      <c r="I17" s="340"/>
      <c r="J17" s="340"/>
      <c r="K17" s="340"/>
      <c r="L17" s="340"/>
      <c r="M17" s="340"/>
      <c r="N17" s="340"/>
      <c r="O17" s="340"/>
    </row>
    <row r="18" spans="1:15" ht="15.75" thickBot="1" x14ac:dyDescent="0.3">
      <c r="A18" s="489" t="s">
        <v>972</v>
      </c>
      <c r="B18" s="340"/>
      <c r="C18" s="340"/>
      <c r="D18" s="340"/>
      <c r="E18" s="340"/>
      <c r="F18" s="340"/>
      <c r="G18" s="340"/>
      <c r="H18" s="340"/>
      <c r="I18" s="340"/>
      <c r="J18" s="340"/>
      <c r="K18" s="340"/>
      <c r="L18" s="340"/>
      <c r="M18" s="340"/>
      <c r="N18" s="340"/>
      <c r="O18" s="340"/>
    </row>
    <row r="19" spans="1:15" ht="45.75" thickBot="1" x14ac:dyDescent="0.3">
      <c r="A19" s="490" t="s">
        <v>850</v>
      </c>
      <c r="B19" s="491" t="s">
        <v>896</v>
      </c>
      <c r="C19" s="491" t="s">
        <v>900</v>
      </c>
      <c r="D19" s="492" t="s">
        <v>847</v>
      </c>
      <c r="E19" s="490" t="s">
        <v>1158</v>
      </c>
      <c r="F19" s="491" t="s">
        <v>1159</v>
      </c>
      <c r="G19" s="492" t="s">
        <v>1160</v>
      </c>
      <c r="H19" s="493" t="s">
        <v>1161</v>
      </c>
      <c r="I19" s="492" t="s">
        <v>1162</v>
      </c>
      <c r="J19" s="493" t="s">
        <v>1163</v>
      </c>
      <c r="K19" s="493" t="s">
        <v>1164</v>
      </c>
      <c r="L19" s="340"/>
      <c r="M19" s="340"/>
      <c r="N19" s="497"/>
      <c r="O19" s="340"/>
    </row>
    <row r="20" spans="1:15" ht="15.75" thickBot="1" x14ac:dyDescent="0.3">
      <c r="A20" s="341" t="str">
        <f>D14</f>
        <v>Fumier</v>
      </c>
      <c r="B20" s="397">
        <f>O14</f>
        <v>391.875</v>
      </c>
      <c r="C20" s="342">
        <f>K15</f>
        <v>0.65</v>
      </c>
      <c r="D20" s="798">
        <f>L15/B20</f>
        <v>145.60000000000002</v>
      </c>
      <c r="E20" s="397">
        <f>M14/B20</f>
        <v>260</v>
      </c>
      <c r="F20" s="397">
        <f>E14/B20</f>
        <v>122.22926748590328</v>
      </c>
      <c r="G20" s="397">
        <f>F14/B20</f>
        <v>42.382596491228071</v>
      </c>
      <c r="H20" s="400">
        <f>G14/B20</f>
        <v>42.419649122807023</v>
      </c>
      <c r="I20" s="503">
        <f>H15/B20</f>
        <v>181.76</v>
      </c>
      <c r="J20" s="400">
        <f>I14/B20</f>
        <v>2.4252474385964913</v>
      </c>
      <c r="K20" s="502">
        <f>J14/B20</f>
        <v>3.6376477192982453</v>
      </c>
      <c r="L20" s="340"/>
      <c r="M20" s="340"/>
      <c r="N20" s="340"/>
      <c r="O20" s="340"/>
    </row>
    <row r="21" spans="1:15" x14ac:dyDescent="0.25">
      <c r="A21" s="229"/>
      <c r="B21" s="340"/>
      <c r="C21" s="340"/>
      <c r="D21" s="340"/>
      <c r="E21" s="340"/>
      <c r="F21" s="340"/>
      <c r="G21" s="340"/>
      <c r="H21" s="340"/>
      <c r="I21" s="494"/>
      <c r="J21" s="494"/>
      <c r="K21" s="340"/>
      <c r="L21" s="340"/>
      <c r="M21" s="340"/>
      <c r="N21" s="340"/>
      <c r="O21" s="340"/>
    </row>
    <row r="22" spans="1:15" ht="15.75" thickBot="1" x14ac:dyDescent="0.3">
      <c r="A22" s="489" t="s">
        <v>973</v>
      </c>
      <c r="B22" s="340"/>
      <c r="C22" s="340"/>
      <c r="D22" s="340"/>
      <c r="E22" s="340"/>
      <c r="F22" s="340"/>
      <c r="G22" s="340"/>
      <c r="H22" s="340"/>
      <c r="I22" s="494"/>
      <c r="J22" s="494"/>
      <c r="K22" s="340"/>
      <c r="L22" s="340"/>
      <c r="M22" s="340"/>
      <c r="N22" s="340"/>
      <c r="O22" s="340"/>
    </row>
    <row r="23" spans="1:15" ht="45.75" thickBot="1" x14ac:dyDescent="0.3">
      <c r="A23" s="490" t="s">
        <v>850</v>
      </c>
      <c r="B23" s="491" t="s">
        <v>896</v>
      </c>
      <c r="C23" s="491" t="s">
        <v>900</v>
      </c>
      <c r="D23" s="492" t="s">
        <v>847</v>
      </c>
      <c r="E23" s="490" t="s">
        <v>1158</v>
      </c>
      <c r="F23" s="491" t="s">
        <v>1159</v>
      </c>
      <c r="G23" s="492" t="s">
        <v>1160</v>
      </c>
      <c r="H23" s="493" t="s">
        <v>1161</v>
      </c>
      <c r="I23" s="492" t="s">
        <v>1162</v>
      </c>
      <c r="J23" s="493" t="s">
        <v>1163</v>
      </c>
      <c r="K23" s="493" t="s">
        <v>1164</v>
      </c>
      <c r="L23" s="229"/>
      <c r="M23" s="340"/>
      <c r="N23" s="340"/>
      <c r="O23" s="340"/>
    </row>
    <row r="24" spans="1:15" ht="15.75" thickBot="1" x14ac:dyDescent="0.3">
      <c r="A24" s="341" t="str">
        <f>D15</f>
        <v>Fumier</v>
      </c>
      <c r="B24" s="397">
        <f>IF('Effectif Avi'!B24="non",O15,O16)</f>
        <v>195.9375</v>
      </c>
      <c r="C24" s="342">
        <f>K16</f>
        <v>0.58500000000000008</v>
      </c>
      <c r="D24" s="798">
        <f>IF('Effectif Avi'!B24="non",L15,L16)/B24</f>
        <v>163.80000000000007</v>
      </c>
      <c r="E24" s="397">
        <f>IF('Effectif Avi'!B24="non",M15,M16)/B24</f>
        <v>260</v>
      </c>
      <c r="F24" s="397">
        <f>IF('Effectif Avi'!B24="non",E15,E16)/B24</f>
        <v>110.00634073731294</v>
      </c>
      <c r="G24" s="397">
        <f>IF('Effectif Avi'!B24="non",F15,F16)/B24</f>
        <v>84.765192982456142</v>
      </c>
      <c r="H24" s="400">
        <f>IF('Effectif Avi'!B24="non",G15,G16)/B24</f>
        <v>55.145543859649131</v>
      </c>
      <c r="I24" s="503">
        <f>IF('Effectif Avi'!B24="non",H15,H16)/B24</f>
        <v>363.52</v>
      </c>
      <c r="J24" s="799">
        <f>IF('Effectif Avi'!B24="non",I15,I16)/B24</f>
        <v>4.8504948771929826</v>
      </c>
      <c r="K24" s="800">
        <f>IF('Effectif Avi'!B24="non",J15,J16)/B24</f>
        <v>7.2752954385964905</v>
      </c>
      <c r="L24" s="229"/>
      <c r="M24" s="340"/>
      <c r="N24" s="340"/>
      <c r="O24" s="340"/>
    </row>
    <row r="25" spans="1:15" x14ac:dyDescent="0.25">
      <c r="A25" s="494"/>
      <c r="B25" s="494"/>
      <c r="C25" s="340"/>
      <c r="D25" s="340"/>
      <c r="E25" s="340"/>
      <c r="F25" s="340"/>
      <c r="G25" s="340"/>
      <c r="H25" s="340"/>
      <c r="I25" s="229"/>
      <c r="J25" s="229"/>
      <c r="K25" s="229"/>
      <c r="L25" s="229"/>
      <c r="M25" s="340"/>
      <c r="N25" s="340"/>
      <c r="O25" s="340"/>
    </row>
    <row r="26" spans="1:15" x14ac:dyDescent="0.25">
      <c r="A26" s="494"/>
      <c r="B26" s="494"/>
      <c r="C26" s="340"/>
      <c r="D26" s="340"/>
      <c r="E26" s="340"/>
      <c r="F26" s="340"/>
      <c r="G26" s="340"/>
      <c r="H26" s="340"/>
      <c r="I26" s="229"/>
      <c r="J26" s="229"/>
      <c r="K26" s="229"/>
      <c r="L26" s="229"/>
      <c r="M26" s="340"/>
      <c r="N26" s="340"/>
      <c r="O26" s="340"/>
    </row>
    <row r="27" spans="1:15" x14ac:dyDescent="0.25">
      <c r="A27" s="229"/>
      <c r="B27" s="229"/>
      <c r="C27" s="229"/>
      <c r="D27" s="229"/>
      <c r="E27" s="229"/>
      <c r="F27" s="229"/>
      <c r="G27" s="229"/>
      <c r="H27" s="229"/>
      <c r="I27" s="229"/>
      <c r="J27" s="229"/>
      <c r="K27" s="229"/>
      <c r="L27" s="229"/>
      <c r="M27" s="229"/>
      <c r="N27" s="229"/>
      <c r="O27" s="229"/>
    </row>
    <row r="28" spans="1:15" s="903" customFormat="1" x14ac:dyDescent="0.25">
      <c r="A28" s="1032"/>
      <c r="B28" s="1032"/>
      <c r="C28" s="1032"/>
      <c r="D28" s="1032"/>
      <c r="E28" s="1032"/>
      <c r="F28" s="1032"/>
      <c r="G28" s="1032"/>
      <c r="H28" s="1032"/>
      <c r="I28" s="1032"/>
      <c r="J28" s="1032"/>
      <c r="K28" s="1032"/>
      <c r="L28" s="1032"/>
      <c r="M28" s="1032"/>
      <c r="N28" s="1032"/>
      <c r="O28" s="1032"/>
    </row>
    <row r="29" spans="1:15" s="903" customFormat="1" x14ac:dyDescent="0.25">
      <c r="A29" s="1032"/>
      <c r="B29" s="1032"/>
      <c r="C29" s="1032"/>
      <c r="D29" s="1032"/>
      <c r="E29" s="1032"/>
      <c r="F29" s="1032"/>
      <c r="G29" s="1032"/>
      <c r="H29" s="1032"/>
      <c r="I29" s="1032"/>
      <c r="J29" s="1032"/>
      <c r="K29" s="1032"/>
      <c r="L29" s="1032"/>
      <c r="M29" s="1032"/>
      <c r="N29" s="1032"/>
      <c r="O29" s="1032"/>
    </row>
    <row r="30" spans="1:15" s="903" customFormat="1" x14ac:dyDescent="0.25">
      <c r="A30" s="1032"/>
      <c r="B30" s="1032"/>
      <c r="C30" s="1032"/>
      <c r="D30" s="1032"/>
      <c r="E30" s="1032"/>
      <c r="F30" s="1032"/>
      <c r="G30" s="1032"/>
      <c r="H30" s="1032"/>
      <c r="I30" s="1032"/>
      <c r="J30" s="1032"/>
      <c r="K30" s="1032"/>
      <c r="L30" s="1032"/>
      <c r="M30" s="1032"/>
      <c r="N30" s="1032"/>
      <c r="O30" s="1032"/>
    </row>
    <row r="31" spans="1:15" s="903" customFormat="1" x14ac:dyDescent="0.25">
      <c r="A31" s="1032"/>
      <c r="B31" s="1032"/>
      <c r="C31" s="1032"/>
      <c r="D31" s="1032"/>
      <c r="E31" s="1032"/>
      <c r="F31" s="1032"/>
      <c r="G31" s="1032"/>
      <c r="H31" s="1032"/>
      <c r="I31" s="1032"/>
      <c r="J31" s="1032"/>
      <c r="K31" s="1032"/>
      <c r="L31" s="1032"/>
      <c r="M31" s="1032"/>
      <c r="N31" s="1032"/>
      <c r="O31" s="1032"/>
    </row>
    <row r="32" spans="1:15" s="903" customFormat="1" x14ac:dyDescent="0.25">
      <c r="A32" s="1032"/>
      <c r="B32" s="1032"/>
      <c r="C32" s="1032"/>
      <c r="D32" s="1032"/>
      <c r="E32" s="1032"/>
      <c r="F32" s="1032"/>
      <c r="G32" s="1032"/>
      <c r="H32" s="1032"/>
      <c r="I32" s="1032"/>
      <c r="J32" s="1032"/>
      <c r="K32" s="1032"/>
      <c r="L32" s="1032"/>
      <c r="M32" s="1032"/>
      <c r="N32" s="1032"/>
      <c r="O32" s="1032"/>
    </row>
    <row r="33" spans="1:15" s="903" customFormat="1" x14ac:dyDescent="0.25">
      <c r="A33" s="1032"/>
      <c r="B33" s="1032"/>
      <c r="C33" s="1032"/>
      <c r="D33" s="1032"/>
      <c r="E33" s="1032"/>
      <c r="F33" s="1032"/>
      <c r="G33" s="1032"/>
      <c r="H33" s="1032"/>
      <c r="I33" s="1032"/>
      <c r="J33" s="1032"/>
      <c r="K33" s="1032"/>
      <c r="L33" s="1032"/>
      <c r="M33" s="1032"/>
      <c r="N33" s="1032"/>
      <c r="O33" s="1032"/>
    </row>
    <row r="34" spans="1:15" s="903" customFormat="1" x14ac:dyDescent="0.25">
      <c r="A34" s="1032"/>
      <c r="B34" s="1032"/>
      <c r="C34" s="1032"/>
      <c r="D34" s="1032"/>
      <c r="E34" s="1032"/>
      <c r="F34" s="1032"/>
      <c r="G34" s="1032"/>
      <c r="H34" s="1032"/>
      <c r="I34" s="1032"/>
      <c r="J34" s="1032"/>
      <c r="K34" s="1032"/>
      <c r="L34" s="1032"/>
      <c r="M34" s="1032"/>
      <c r="N34" s="1032"/>
      <c r="O34" s="1032"/>
    </row>
    <row r="35" spans="1:15" s="903" customFormat="1" x14ac:dyDescent="0.25">
      <c r="A35" s="1032"/>
      <c r="B35" s="1032"/>
      <c r="C35" s="1032"/>
      <c r="D35" s="1032"/>
      <c r="E35" s="1032"/>
      <c r="F35" s="1032"/>
      <c r="G35" s="1032"/>
      <c r="H35" s="1032"/>
      <c r="I35" s="1032"/>
      <c r="J35" s="1032"/>
      <c r="K35" s="1032"/>
      <c r="L35" s="1032"/>
      <c r="M35" s="1032"/>
      <c r="N35" s="1032"/>
      <c r="O35" s="1032"/>
    </row>
    <row r="36" spans="1:15" s="903" customFormat="1" x14ac:dyDescent="0.25">
      <c r="A36" s="1032"/>
      <c r="B36" s="1032"/>
      <c r="C36" s="1032"/>
      <c r="D36" s="1032"/>
      <c r="E36" s="1032"/>
      <c r="F36" s="1032"/>
      <c r="G36" s="1032"/>
      <c r="H36" s="1032"/>
      <c r="I36" s="1032"/>
      <c r="J36" s="1032"/>
      <c r="K36" s="1032"/>
      <c r="L36" s="1032"/>
      <c r="M36" s="1032"/>
      <c r="N36" s="1032"/>
      <c r="O36" s="1032"/>
    </row>
    <row r="37" spans="1:15" s="903" customFormat="1" x14ac:dyDescent="0.25">
      <c r="A37" s="1032"/>
      <c r="B37" s="1032"/>
      <c r="C37" s="1032"/>
      <c r="D37" s="1032"/>
      <c r="E37" s="1032"/>
      <c r="F37" s="1032"/>
      <c r="G37" s="1032"/>
      <c r="H37" s="1032"/>
      <c r="I37" s="1032"/>
      <c r="J37" s="1032"/>
      <c r="K37" s="1032"/>
      <c r="L37" s="1032"/>
      <c r="M37" s="1032"/>
      <c r="N37" s="1032"/>
      <c r="O37" s="1032"/>
    </row>
    <row r="38" spans="1:15" s="903" customFormat="1" x14ac:dyDescent="0.25">
      <c r="A38" s="1032"/>
      <c r="B38" s="1032"/>
      <c r="C38" s="1032"/>
      <c r="D38" s="1032"/>
      <c r="E38" s="1032"/>
      <c r="F38" s="1032"/>
      <c r="G38" s="1032"/>
      <c r="H38" s="1032"/>
      <c r="I38" s="1032"/>
      <c r="J38" s="1032"/>
      <c r="K38" s="1032"/>
      <c r="L38" s="1032"/>
      <c r="M38" s="1032"/>
      <c r="N38" s="1032"/>
      <c r="O38" s="1032"/>
    </row>
    <row r="39" spans="1:15" s="903" customFormat="1" x14ac:dyDescent="0.25">
      <c r="A39" s="1032"/>
      <c r="B39" s="1032"/>
      <c r="C39" s="1032"/>
      <c r="D39" s="1032"/>
      <c r="E39" s="1032"/>
      <c r="F39" s="1032"/>
      <c r="G39" s="1032"/>
      <c r="H39" s="1032"/>
      <c r="I39" s="1032"/>
      <c r="J39" s="1032"/>
      <c r="K39" s="1032"/>
      <c r="L39" s="1032"/>
      <c r="M39" s="1032"/>
      <c r="N39" s="1032"/>
      <c r="O39" s="1032"/>
    </row>
    <row r="40" spans="1:15" s="903" customFormat="1" x14ac:dyDescent="0.25">
      <c r="A40" s="1032"/>
      <c r="B40" s="1032"/>
      <c r="C40" s="1032"/>
      <c r="D40" s="1032"/>
      <c r="E40" s="1032"/>
      <c r="F40" s="1032"/>
      <c r="G40" s="1032"/>
      <c r="H40" s="1032"/>
      <c r="I40" s="1032"/>
      <c r="J40" s="1032"/>
      <c r="K40" s="1032"/>
      <c r="L40" s="1032"/>
      <c r="M40" s="1032"/>
      <c r="N40" s="1032"/>
      <c r="O40" s="1032"/>
    </row>
    <row r="41" spans="1:15" s="903" customFormat="1" x14ac:dyDescent="0.25">
      <c r="A41" s="1032"/>
      <c r="B41" s="1032"/>
      <c r="C41" s="1032"/>
      <c r="D41" s="1032"/>
      <c r="E41" s="1032"/>
      <c r="F41" s="1032"/>
      <c r="G41" s="1032"/>
      <c r="H41" s="1032"/>
      <c r="I41" s="1032"/>
      <c r="J41" s="1032"/>
      <c r="K41" s="1032"/>
      <c r="L41" s="1032"/>
      <c r="M41" s="1032"/>
      <c r="N41" s="1032"/>
      <c r="O41" s="1032"/>
    </row>
    <row r="42" spans="1:15" s="903" customFormat="1" x14ac:dyDescent="0.25">
      <c r="A42" s="1032"/>
      <c r="B42" s="1032"/>
      <c r="C42" s="1032"/>
      <c r="D42" s="1032"/>
      <c r="E42" s="1032"/>
      <c r="F42" s="1032"/>
      <c r="G42" s="1032"/>
      <c r="H42" s="1032"/>
      <c r="I42" s="1032"/>
      <c r="J42" s="1032"/>
      <c r="K42" s="1032"/>
      <c r="L42" s="1032"/>
      <c r="M42" s="1032"/>
      <c r="N42" s="1032"/>
      <c r="O42" s="1032"/>
    </row>
    <row r="43" spans="1:15" s="903" customFormat="1" x14ac:dyDescent="0.25">
      <c r="A43" s="1032"/>
      <c r="B43" s="1032"/>
      <c r="C43" s="1032"/>
      <c r="D43" s="1032"/>
      <c r="E43" s="1032"/>
      <c r="F43" s="1032"/>
      <c r="G43" s="1032"/>
      <c r="H43" s="1032"/>
      <c r="I43" s="1032"/>
      <c r="J43" s="1032"/>
      <c r="K43" s="1032"/>
      <c r="L43" s="1032"/>
      <c r="M43" s="1032"/>
      <c r="N43" s="1032"/>
      <c r="O43" s="1032"/>
    </row>
    <row r="44" spans="1:15" s="903" customFormat="1" x14ac:dyDescent="0.25"/>
    <row r="45" spans="1:15" s="903" customFormat="1" x14ac:dyDescent="0.25"/>
    <row r="46" spans="1:15" s="903" customFormat="1" x14ac:dyDescent="0.25"/>
    <row r="47" spans="1:15" s="903" customFormat="1" x14ac:dyDescent="0.25"/>
    <row r="48" spans="1:15" s="903" customFormat="1" x14ac:dyDescent="0.25"/>
    <row r="49" s="903" customFormat="1" x14ac:dyDescent="0.25"/>
    <row r="50" s="903" customFormat="1" x14ac:dyDescent="0.25"/>
    <row r="51" s="903" customFormat="1" x14ac:dyDescent="0.25"/>
    <row r="52" s="903" customFormat="1" x14ac:dyDescent="0.25"/>
    <row r="53" s="903" customFormat="1" x14ac:dyDescent="0.25"/>
    <row r="54" s="903" customFormat="1" x14ac:dyDescent="0.25"/>
    <row r="55" s="903" customFormat="1" x14ac:dyDescent="0.25"/>
    <row r="56" s="903" customFormat="1" x14ac:dyDescent="0.25"/>
    <row r="57" s="903" customFormat="1" x14ac:dyDescent="0.25"/>
    <row r="58" s="903" customFormat="1" x14ac:dyDescent="0.25"/>
    <row r="59" s="903" customFormat="1" x14ac:dyDescent="0.25"/>
    <row r="60" s="903" customFormat="1" x14ac:dyDescent="0.25"/>
    <row r="61" s="903" customFormat="1" x14ac:dyDescent="0.25"/>
    <row r="62" s="903" customFormat="1" x14ac:dyDescent="0.25"/>
    <row r="63" s="903" customFormat="1" x14ac:dyDescent="0.25"/>
    <row r="64" s="903" customFormat="1" x14ac:dyDescent="0.25"/>
    <row r="65" s="903" customFormat="1" x14ac:dyDescent="0.25"/>
    <row r="66" s="903" customFormat="1" x14ac:dyDescent="0.25"/>
    <row r="67" s="903" customFormat="1" x14ac:dyDescent="0.25"/>
    <row r="68" s="903" customFormat="1" x14ac:dyDescent="0.25"/>
    <row r="69" s="903" customFormat="1" x14ac:dyDescent="0.25"/>
    <row r="70" s="903" customFormat="1" x14ac:dyDescent="0.25"/>
    <row r="71" s="903" customFormat="1" x14ac:dyDescent="0.25"/>
    <row r="72" s="903" customFormat="1" x14ac:dyDescent="0.25"/>
    <row r="73" s="903" customFormat="1" x14ac:dyDescent="0.25"/>
    <row r="74" s="903" customFormat="1" x14ac:dyDescent="0.25"/>
    <row r="75" s="903" customFormat="1" x14ac:dyDescent="0.25"/>
    <row r="76" s="903" customFormat="1" x14ac:dyDescent="0.25"/>
    <row r="77" s="903" customFormat="1" x14ac:dyDescent="0.25"/>
    <row r="78" s="903" customFormat="1" x14ac:dyDescent="0.25"/>
    <row r="79" s="903" customFormat="1" x14ac:dyDescent="0.25"/>
    <row r="80" s="903" customFormat="1" x14ac:dyDescent="0.25"/>
    <row r="81" s="903" customFormat="1" x14ac:dyDescent="0.25"/>
    <row r="82" s="903" customFormat="1" x14ac:dyDescent="0.25"/>
    <row r="83" s="903" customFormat="1" x14ac:dyDescent="0.25"/>
    <row r="84" s="903" customFormat="1" x14ac:dyDescent="0.25"/>
    <row r="85" s="903" customFormat="1" x14ac:dyDescent="0.25"/>
    <row r="86" s="903" customFormat="1" x14ac:dyDescent="0.25"/>
    <row r="87" s="903" customFormat="1" x14ac:dyDescent="0.25"/>
    <row r="88" s="903" customFormat="1" x14ac:dyDescent="0.25"/>
    <row r="89" s="903" customFormat="1" x14ac:dyDescent="0.25"/>
    <row r="90" s="903" customFormat="1" x14ac:dyDescent="0.25"/>
    <row r="91" s="903" customFormat="1" x14ac:dyDescent="0.25"/>
    <row r="92" s="903" customFormat="1" x14ac:dyDescent="0.25"/>
    <row r="93" s="903" customFormat="1" x14ac:dyDescent="0.25"/>
    <row r="94" s="903" customFormat="1" x14ac:dyDescent="0.25"/>
    <row r="95" s="903" customFormat="1" x14ac:dyDescent="0.25"/>
    <row r="96" s="903" customFormat="1" x14ac:dyDescent="0.25"/>
    <row r="97" s="903" customFormat="1" x14ac:dyDescent="0.25"/>
    <row r="98" s="903" customFormat="1" x14ac:dyDescent="0.25"/>
    <row r="99" s="903" customFormat="1" x14ac:dyDescent="0.25"/>
    <row r="100" s="903" customFormat="1" x14ac:dyDescent="0.25"/>
    <row r="101" s="903" customFormat="1" x14ac:dyDescent="0.25"/>
    <row r="102" s="903" customFormat="1" x14ac:dyDescent="0.25"/>
    <row r="103" s="903" customFormat="1" x14ac:dyDescent="0.25"/>
    <row r="104" s="903" customFormat="1" x14ac:dyDescent="0.25"/>
    <row r="105" s="903" customFormat="1" x14ac:dyDescent="0.25"/>
    <row r="106" s="903" customFormat="1" x14ac:dyDescent="0.25"/>
    <row r="107" s="903" customFormat="1" x14ac:dyDescent="0.25"/>
    <row r="108" s="903" customFormat="1" x14ac:dyDescent="0.25"/>
    <row r="109" s="903" customFormat="1" x14ac:dyDescent="0.25"/>
    <row r="110" s="903" customFormat="1" x14ac:dyDescent="0.25"/>
    <row r="111" s="903" customFormat="1" x14ac:dyDescent="0.25"/>
    <row r="112" s="903" customFormat="1" x14ac:dyDescent="0.25"/>
    <row r="113" s="903" customFormat="1" x14ac:dyDescent="0.25"/>
    <row r="114" s="903" customFormat="1" x14ac:dyDescent="0.25"/>
    <row r="115" s="903" customFormat="1" x14ac:dyDescent="0.25"/>
    <row r="116" s="903" customFormat="1" x14ac:dyDescent="0.25"/>
    <row r="117" s="903" customFormat="1" x14ac:dyDescent="0.25"/>
    <row r="118" s="903" customFormat="1" x14ac:dyDescent="0.25"/>
    <row r="119" s="903" customFormat="1" x14ac:dyDescent="0.25"/>
    <row r="120" s="903" customFormat="1" x14ac:dyDescent="0.25"/>
    <row r="121" s="903" customFormat="1" x14ac:dyDescent="0.25"/>
    <row r="122" s="903" customFormat="1" x14ac:dyDescent="0.25"/>
    <row r="123" s="903" customFormat="1" x14ac:dyDescent="0.25"/>
    <row r="124" s="903" customFormat="1" x14ac:dyDescent="0.25"/>
    <row r="125" s="903" customFormat="1" x14ac:dyDescent="0.25"/>
    <row r="126" s="903" customFormat="1" x14ac:dyDescent="0.25"/>
    <row r="127" s="903" customFormat="1" x14ac:dyDescent="0.25"/>
    <row r="128" s="903" customFormat="1" x14ac:dyDescent="0.25"/>
    <row r="129" s="903" customFormat="1" x14ac:dyDescent="0.25"/>
    <row r="130" s="903" customFormat="1" x14ac:dyDescent="0.25"/>
    <row r="131" s="903" customFormat="1" x14ac:dyDescent="0.25"/>
    <row r="132" s="903" customFormat="1" x14ac:dyDescent="0.25"/>
    <row r="133" s="903" customFormat="1" x14ac:dyDescent="0.25"/>
    <row r="134" s="903" customFormat="1" x14ac:dyDescent="0.25"/>
    <row r="135" s="903" customFormat="1" x14ac:dyDescent="0.25"/>
    <row r="136" s="903" customFormat="1" x14ac:dyDescent="0.25"/>
    <row r="137" s="903" customFormat="1" x14ac:dyDescent="0.25"/>
    <row r="138" s="903" customFormat="1" x14ac:dyDescent="0.25"/>
    <row r="139" s="903" customFormat="1" x14ac:dyDescent="0.25"/>
    <row r="140" s="903" customFormat="1" x14ac:dyDescent="0.25"/>
    <row r="141" s="903" customFormat="1" x14ac:dyDescent="0.25"/>
    <row r="142" s="903" customFormat="1" x14ac:dyDescent="0.25"/>
    <row r="143" s="903" customFormat="1" x14ac:dyDescent="0.25"/>
    <row r="144" s="903" customFormat="1" x14ac:dyDescent="0.25"/>
    <row r="145" s="903" customFormat="1" x14ac:dyDescent="0.25"/>
    <row r="146" s="903" customFormat="1" x14ac:dyDescent="0.25"/>
    <row r="147" s="903" customFormat="1" x14ac:dyDescent="0.25"/>
    <row r="148" s="903" customFormat="1" x14ac:dyDescent="0.25"/>
    <row r="149" s="903" customFormat="1" x14ac:dyDescent="0.25"/>
    <row r="150" s="903" customFormat="1" x14ac:dyDescent="0.25"/>
    <row r="151" s="903" customFormat="1" x14ac:dyDescent="0.25"/>
    <row r="152" s="903" customFormat="1" x14ac:dyDescent="0.25"/>
    <row r="153" s="903" customFormat="1" x14ac:dyDescent="0.25"/>
    <row r="154" s="903" customFormat="1" x14ac:dyDescent="0.25"/>
    <row r="155" s="903" customFormat="1" x14ac:dyDescent="0.25"/>
    <row r="156" s="903" customFormat="1" x14ac:dyDescent="0.25"/>
    <row r="157" s="903" customFormat="1" x14ac:dyDescent="0.25"/>
    <row r="158" s="903" customFormat="1" x14ac:dyDescent="0.25"/>
    <row r="159" s="903" customFormat="1" x14ac:dyDescent="0.25"/>
    <row r="160" s="903" customFormat="1" x14ac:dyDescent="0.25"/>
    <row r="161" s="903" customFormat="1" x14ac:dyDescent="0.25"/>
    <row r="162" s="903" customFormat="1" x14ac:dyDescent="0.25"/>
    <row r="163" s="903" customFormat="1" x14ac:dyDescent="0.25"/>
    <row r="164" s="903" customFormat="1" x14ac:dyDescent="0.25"/>
    <row r="165" s="903" customFormat="1" x14ac:dyDescent="0.25"/>
    <row r="166" s="903" customFormat="1" x14ac:dyDescent="0.25"/>
    <row r="167" s="903" customFormat="1" x14ac:dyDescent="0.25"/>
    <row r="168" s="903" customFormat="1" x14ac:dyDescent="0.25"/>
    <row r="169" s="903" customFormat="1" x14ac:dyDescent="0.25"/>
    <row r="170" s="903" customFormat="1" x14ac:dyDescent="0.25"/>
    <row r="171" s="903" customFormat="1" x14ac:dyDescent="0.25"/>
    <row r="172" s="903" customFormat="1" x14ac:dyDescent="0.25"/>
    <row r="173" s="903" customFormat="1" x14ac:dyDescent="0.25"/>
    <row r="174" s="903" customFormat="1" x14ac:dyDescent="0.25"/>
    <row r="175" s="903" customFormat="1" x14ac:dyDescent="0.25"/>
    <row r="176" s="903" customFormat="1" x14ac:dyDescent="0.25"/>
    <row r="177" s="903" customFormat="1" x14ac:dyDescent="0.25"/>
    <row r="178" s="903" customFormat="1" x14ac:dyDescent="0.25"/>
    <row r="179" s="903" customFormat="1" x14ac:dyDescent="0.25"/>
    <row r="180" s="903" customFormat="1" x14ac:dyDescent="0.25"/>
    <row r="181" s="903" customFormat="1" x14ac:dyDescent="0.25"/>
    <row r="182" s="903" customFormat="1" x14ac:dyDescent="0.25"/>
  </sheetData>
  <mergeCells count="3">
    <mergeCell ref="A14:C14"/>
    <mergeCell ref="A15:C15"/>
    <mergeCell ref="A16:C1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FF0000"/>
  </sheetPr>
  <dimension ref="A2:BL303"/>
  <sheetViews>
    <sheetView showGridLines="0" showRowColHeaders="0" zoomScale="70" zoomScaleNormal="70" workbookViewId="0">
      <selection activeCell="A39" sqref="A39"/>
    </sheetView>
  </sheetViews>
  <sheetFormatPr baseColWidth="10" defaultRowHeight="15" x14ac:dyDescent="0.25"/>
  <cols>
    <col min="1" max="1" width="32.85546875" style="33" customWidth="1"/>
    <col min="2" max="2" width="43.140625" style="33" customWidth="1"/>
    <col min="3" max="3" width="33.7109375" style="33" customWidth="1"/>
    <col min="4" max="4" width="21" style="33" customWidth="1"/>
    <col min="5" max="22" width="8.85546875" style="33" customWidth="1"/>
    <col min="23" max="24" width="11.42578125" style="33"/>
    <col min="25" max="64" width="11.42578125" style="905"/>
    <col min="65" max="16384" width="11.42578125" style="33"/>
  </cols>
  <sheetData>
    <row r="2" spans="1:64" s="47" customFormat="1" ht="31.5" x14ac:dyDescent="0.5">
      <c r="A2" s="896" t="s">
        <v>908</v>
      </c>
      <c r="B2" s="897"/>
      <c r="C2" s="898"/>
      <c r="D2" s="898"/>
      <c r="E2" s="898"/>
      <c r="F2" s="898"/>
      <c r="G2" s="898"/>
      <c r="H2" s="898"/>
      <c r="I2" s="898"/>
      <c r="J2" s="898"/>
      <c r="K2" s="898"/>
      <c r="L2" s="898"/>
      <c r="M2" s="898"/>
      <c r="N2" s="898"/>
      <c r="O2" s="898"/>
      <c r="P2" s="898"/>
      <c r="Q2" s="898"/>
      <c r="R2" s="898"/>
      <c r="S2" s="898"/>
      <c r="T2" s="898"/>
      <c r="U2" s="898"/>
      <c r="V2" s="898"/>
      <c r="W2" s="898"/>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row>
    <row r="3" spans="1:64" s="47" customFormat="1" x14ac:dyDescent="0.25">
      <c r="A3" s="344"/>
      <c r="B3" s="343"/>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905"/>
      <c r="AY3" s="905"/>
      <c r="AZ3" s="905"/>
      <c r="BA3" s="905"/>
      <c r="BB3" s="905"/>
      <c r="BC3" s="905"/>
      <c r="BD3" s="905"/>
      <c r="BE3" s="905"/>
      <c r="BF3" s="905"/>
      <c r="BG3" s="905"/>
      <c r="BH3" s="905"/>
      <c r="BI3" s="905"/>
      <c r="BJ3" s="905"/>
      <c r="BK3" s="905"/>
      <c r="BL3" s="905"/>
    </row>
    <row r="4" spans="1:64" s="47" customFormat="1" x14ac:dyDescent="0.25">
      <c r="A4" s="344"/>
      <c r="B4" s="343"/>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row>
    <row r="5" spans="1:64" s="47" customFormat="1" x14ac:dyDescent="0.25">
      <c r="A5" s="344"/>
      <c r="B5" s="343"/>
      <c r="Y5" s="905"/>
      <c r="Z5" s="905"/>
      <c r="AA5" s="905"/>
      <c r="AB5" s="905"/>
      <c r="AC5" s="905"/>
      <c r="AD5" s="905"/>
      <c r="AE5" s="905"/>
      <c r="AF5" s="905"/>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row>
    <row r="7" spans="1:64" x14ac:dyDescent="0.25">
      <c r="A7" s="348"/>
      <c r="B7" s="878" t="s">
        <v>909</v>
      </c>
      <c r="C7" s="879"/>
      <c r="D7" s="878" t="s">
        <v>1055</v>
      </c>
      <c r="E7" s="352"/>
      <c r="F7" s="1172" t="s">
        <v>1057</v>
      </c>
      <c r="G7" s="1172"/>
      <c r="H7" s="1172"/>
      <c r="I7" s="1172"/>
      <c r="J7" s="1172"/>
      <c r="K7" s="1172"/>
      <c r="L7" s="1172"/>
      <c r="M7" s="1173"/>
      <c r="N7" s="1173"/>
      <c r="O7" s="1174" t="s">
        <v>919</v>
      </c>
      <c r="P7" s="1172"/>
      <c r="Q7" s="1172"/>
      <c r="R7" s="1172"/>
      <c r="S7" s="1172"/>
      <c r="T7" s="1172"/>
      <c r="U7" s="1172"/>
      <c r="V7" s="1173"/>
      <c r="W7" s="1175"/>
    </row>
    <row r="8" spans="1:64" x14ac:dyDescent="0.25">
      <c r="A8" s="349" t="s">
        <v>887</v>
      </c>
      <c r="B8" s="346" t="s">
        <v>667</v>
      </c>
      <c r="C8" s="349" t="s">
        <v>910</v>
      </c>
      <c r="D8" s="346" t="s">
        <v>1056</v>
      </c>
      <c r="E8" s="347" t="s">
        <v>518</v>
      </c>
      <c r="F8" s="345" t="s">
        <v>118</v>
      </c>
      <c r="G8" s="345" t="s">
        <v>506</v>
      </c>
      <c r="H8" s="345" t="s">
        <v>507</v>
      </c>
      <c r="I8" s="345" t="s">
        <v>1005</v>
      </c>
      <c r="J8" s="345" t="s">
        <v>509</v>
      </c>
      <c r="K8" s="345" t="s">
        <v>928</v>
      </c>
      <c r="L8" s="345" t="s">
        <v>929</v>
      </c>
      <c r="M8" s="345" t="s">
        <v>607</v>
      </c>
      <c r="N8" s="345" t="s">
        <v>608</v>
      </c>
      <c r="O8" s="345" t="s">
        <v>118</v>
      </c>
      <c r="P8" s="345" t="s">
        <v>506</v>
      </c>
      <c r="Q8" s="345" t="s">
        <v>507</v>
      </c>
      <c r="R8" s="345" t="s">
        <v>1005</v>
      </c>
      <c r="S8" s="345" t="s">
        <v>509</v>
      </c>
      <c r="T8" s="345" t="s">
        <v>928</v>
      </c>
      <c r="U8" s="345" t="s">
        <v>929</v>
      </c>
      <c r="V8" s="880" t="s">
        <v>607</v>
      </c>
      <c r="W8" s="879" t="s">
        <v>608</v>
      </c>
    </row>
    <row r="9" spans="1:64" x14ac:dyDescent="0.25">
      <c r="A9" s="350"/>
      <c r="B9" s="346"/>
      <c r="C9" s="349"/>
      <c r="D9" s="346" t="s">
        <v>1054</v>
      </c>
      <c r="E9" s="347"/>
      <c r="F9" s="1180" t="s">
        <v>303</v>
      </c>
      <c r="G9" s="1180"/>
      <c r="H9" s="1180"/>
      <c r="I9" s="1176" t="s">
        <v>512</v>
      </c>
      <c r="J9" s="1177"/>
      <c r="K9" s="1177"/>
      <c r="L9" s="1177"/>
      <c r="M9" s="1178"/>
      <c r="N9" s="1179"/>
      <c r="O9" s="1180" t="s">
        <v>513</v>
      </c>
      <c r="P9" s="1180"/>
      <c r="Q9" s="1180"/>
      <c r="R9" s="1180" t="s">
        <v>514</v>
      </c>
      <c r="S9" s="1180"/>
      <c r="T9" s="1180"/>
      <c r="U9" s="1180"/>
      <c r="V9" s="1177" t="s">
        <v>610</v>
      </c>
      <c r="W9" s="1181"/>
    </row>
    <row r="10" spans="1:64" s="281" customFormat="1" ht="33" customHeight="1" x14ac:dyDescent="0.25">
      <c r="A10" s="375" t="s">
        <v>446</v>
      </c>
      <c r="B10" s="353" t="s">
        <v>886</v>
      </c>
      <c r="C10" s="359" t="s">
        <v>749</v>
      </c>
      <c r="D10" s="354">
        <f>Calculs_bovins!C752</f>
        <v>1013.3185541666667</v>
      </c>
      <c r="E10" s="354" t="str">
        <f>Calculs_bovins!D752</f>
        <v>m3/an</v>
      </c>
      <c r="F10" s="354">
        <f>Calculs_bovins!E752</f>
        <v>70.455714106665923</v>
      </c>
      <c r="G10" s="377">
        <f>Calculs_bovins!F752</f>
        <v>49.764602584426029</v>
      </c>
      <c r="H10" s="377">
        <f>Calculs_bovins!G752</f>
        <v>24.882301292213015</v>
      </c>
      <c r="I10" s="354">
        <f>Calculs_bovins!H752</f>
        <v>3167.7193386666072</v>
      </c>
      <c r="J10" s="377" t="s">
        <v>50</v>
      </c>
      <c r="K10" s="377">
        <f>Calculs_bovins!J752</f>
        <v>1180.9385395954966</v>
      </c>
      <c r="L10" s="377">
        <f>Calculs_bovins!K752</f>
        <v>3075.2058442923676</v>
      </c>
      <c r="M10" s="377" t="str">
        <f>Calculs_bovins!L752</f>
        <v>-</v>
      </c>
      <c r="N10" s="377" t="str">
        <f>Calculs_bovins!M752</f>
        <v>-</v>
      </c>
      <c r="O10" s="355">
        <f>Calculs_bovins!N752</f>
        <v>6.9529679306629619</v>
      </c>
      <c r="P10" s="390">
        <f>Calculs_bovins!O752</f>
        <v>4.911052144441534</v>
      </c>
      <c r="Q10" s="390">
        <f>Calculs_bovins!P752</f>
        <v>2.455526072220767</v>
      </c>
      <c r="R10" s="390">
        <f>Calculs_bovins!Q752</f>
        <v>3.1260844140682664</v>
      </c>
      <c r="S10" s="390">
        <f>Calculs_bovins!R752</f>
        <v>0</v>
      </c>
      <c r="T10" s="390">
        <f>Calculs_bovins!S752</f>
        <v>1.1654168718608704</v>
      </c>
      <c r="U10" s="390">
        <f>Calculs_bovins!T752</f>
        <v>3.0347868709671033</v>
      </c>
      <c r="V10" s="390" t="str">
        <f>Calculs_bovins!U752</f>
        <v>-</v>
      </c>
      <c r="W10" s="463" t="str">
        <f>Calculs_bovins!V752</f>
        <v>-</v>
      </c>
      <c r="Y10" s="907"/>
      <c r="Z10" s="907"/>
      <c r="AA10" s="907"/>
      <c r="AB10" s="907"/>
      <c r="AC10" s="907"/>
      <c r="AD10" s="907"/>
      <c r="AE10" s="907"/>
      <c r="AF10" s="907"/>
      <c r="AG10" s="907"/>
      <c r="AH10" s="907"/>
      <c r="AI10" s="907"/>
      <c r="AJ10" s="907"/>
      <c r="AK10" s="907"/>
      <c r="AL10" s="907"/>
      <c r="AM10" s="907"/>
      <c r="AN10" s="907"/>
      <c r="AO10" s="907"/>
      <c r="AP10" s="907"/>
      <c r="AQ10" s="907"/>
      <c r="AR10" s="907"/>
      <c r="AS10" s="907"/>
      <c r="AT10" s="907"/>
      <c r="AU10" s="907"/>
      <c r="AV10" s="907"/>
      <c r="AW10" s="907"/>
      <c r="AX10" s="907"/>
      <c r="AY10" s="907"/>
      <c r="AZ10" s="907"/>
      <c r="BA10" s="907"/>
      <c r="BB10" s="907"/>
      <c r="BC10" s="907"/>
      <c r="BD10" s="907"/>
      <c r="BE10" s="907"/>
      <c r="BF10" s="907"/>
      <c r="BG10" s="907"/>
      <c r="BH10" s="907"/>
      <c r="BI10" s="907"/>
      <c r="BJ10" s="907"/>
      <c r="BK10" s="907"/>
      <c r="BL10" s="907"/>
    </row>
    <row r="11" spans="1:64" s="281" customFormat="1" ht="22.5" customHeight="1" x14ac:dyDescent="0.25">
      <c r="A11" s="368"/>
      <c r="B11" s="365" t="s">
        <v>885</v>
      </c>
      <c r="C11" s="366" t="s">
        <v>83</v>
      </c>
      <c r="D11" s="367">
        <f>Calculs_bovins!C753</f>
        <v>145.49063655030798</v>
      </c>
      <c r="E11" s="367" t="str">
        <f>Calculs_bovins!D753</f>
        <v>t/an</v>
      </c>
      <c r="F11" s="357">
        <f>Calculs_bovins!E753</f>
        <v>32.153430677618069</v>
      </c>
      <c r="G11" s="383">
        <f>Calculs_bovins!F753</f>
        <v>23.623460147310055</v>
      </c>
      <c r="H11" s="383">
        <f>Calculs_bovins!G753</f>
        <v>11.811730073655028</v>
      </c>
      <c r="I11" s="357">
        <f>Calculs_bovins!H753</f>
        <v>823.59820283291344</v>
      </c>
      <c r="J11" s="383" t="s">
        <v>50</v>
      </c>
      <c r="K11" s="383">
        <f>Calculs_bovins!J753</f>
        <v>426.3745736647071</v>
      </c>
      <c r="L11" s="383">
        <f>Calculs_bovins!K753</f>
        <v>1192.788982933708</v>
      </c>
      <c r="M11" s="383" t="str">
        <f>Calculs_bovins!L753</f>
        <v>-</v>
      </c>
      <c r="N11" s="383" t="str">
        <f>Calculs_bovins!M753</f>
        <v>-</v>
      </c>
      <c r="O11" s="358">
        <f>Calculs_bovins!N753</f>
        <v>22.1</v>
      </c>
      <c r="P11" s="391">
        <f>Calculs_bovins!O753</f>
        <v>16.237099999999998</v>
      </c>
      <c r="Q11" s="391">
        <f>Calculs_bovins!P753</f>
        <v>8.118549999999999</v>
      </c>
      <c r="R11" s="391">
        <f>Calculs_bovins!Q753</f>
        <v>5.6608330430125537</v>
      </c>
      <c r="S11" s="391">
        <f>Calculs_bovins!R753</f>
        <v>0</v>
      </c>
      <c r="T11" s="391">
        <f>Calculs_bovins!S753</f>
        <v>2.9305980355462573</v>
      </c>
      <c r="U11" s="391">
        <f>Calculs_bovins!T753</f>
        <v>8.198390021623581</v>
      </c>
      <c r="V11" s="391" t="str">
        <f>Calculs_bovins!U753</f>
        <v>-</v>
      </c>
      <c r="W11" s="464" t="str">
        <f>Calculs_bovins!V753</f>
        <v>-</v>
      </c>
      <c r="Y11" s="907"/>
      <c r="Z11" s="907"/>
      <c r="AA11" s="907"/>
      <c r="AB11" s="907"/>
      <c r="AC11" s="907"/>
      <c r="AD11" s="907"/>
      <c r="AE11" s="907"/>
      <c r="AF11" s="907"/>
      <c r="AG11" s="907"/>
      <c r="AH11" s="907"/>
      <c r="AI11" s="907"/>
      <c r="AJ11" s="907"/>
      <c r="AK11" s="907"/>
      <c r="AL11" s="907"/>
      <c r="AM11" s="907"/>
      <c r="AN11" s="907"/>
      <c r="AO11" s="907"/>
      <c r="AP11" s="907"/>
      <c r="AQ11" s="907"/>
      <c r="AR11" s="907"/>
      <c r="AS11" s="907"/>
      <c r="AT11" s="907"/>
      <c r="AU11" s="907"/>
      <c r="AV11" s="907"/>
      <c r="AW11" s="907"/>
      <c r="AX11" s="907"/>
      <c r="AY11" s="907"/>
      <c r="AZ11" s="907"/>
      <c r="BA11" s="907"/>
      <c r="BB11" s="907"/>
      <c r="BC11" s="907"/>
      <c r="BD11" s="907"/>
      <c r="BE11" s="907"/>
      <c r="BF11" s="907"/>
      <c r="BG11" s="907"/>
      <c r="BH11" s="907"/>
      <c r="BI11" s="907"/>
      <c r="BJ11" s="907"/>
      <c r="BK11" s="907"/>
      <c r="BL11" s="907"/>
    </row>
    <row r="12" spans="1:64" s="281" customFormat="1" x14ac:dyDescent="0.25">
      <c r="A12" s="373"/>
      <c r="B12" s="373" t="s">
        <v>515</v>
      </c>
      <c r="C12" s="353" t="s">
        <v>517</v>
      </c>
      <c r="D12" s="376" t="str">
        <f>IF(Param_porcs!C374&lt;&gt;0,Param_porcs!C374,"-")</f>
        <v>-</v>
      </c>
      <c r="E12" s="378" t="s">
        <v>374</v>
      </c>
      <c r="F12" s="367" t="str">
        <f>Param_porcs!E374</f>
        <v>-</v>
      </c>
      <c r="G12" s="380" t="str">
        <f>Param_porcs!F374</f>
        <v>-</v>
      </c>
      <c r="H12" s="380" t="str">
        <f>Param_porcs!G374</f>
        <v>-</v>
      </c>
      <c r="I12" s="367" t="str">
        <f>Param_porcs!H374</f>
        <v>-</v>
      </c>
      <c r="J12" s="380" t="str">
        <f>Param_porcs!I374</f>
        <v>-</v>
      </c>
      <c r="K12" s="387" t="str">
        <f>Param_porcs!J374</f>
        <v>-</v>
      </c>
      <c r="L12" s="387" t="str">
        <f>IF(Param_porcs!K374&gt;0,Param_porcs!K374,"-")</f>
        <v>-</v>
      </c>
      <c r="M12" s="380" t="str">
        <f>Param_porcs!L374</f>
        <v>-</v>
      </c>
      <c r="N12" s="380" t="str">
        <f>Param_porcs!M374</f>
        <v>-</v>
      </c>
      <c r="O12" s="369" t="str">
        <f>IF(F12&lt;&gt;"-",F12/D12*100/Param_porcs!H285,"-")</f>
        <v>-</v>
      </c>
      <c r="P12" s="389" t="str">
        <f>IF(G12&lt;&gt;"-",G12/D12*100/Param_porcs!H285,"-")</f>
        <v>-</v>
      </c>
      <c r="Q12" s="389" t="str">
        <f>IF(H12&lt;&gt;"-",H12/D12*100/Param_porcs!H285,"-")</f>
        <v>-</v>
      </c>
      <c r="R12" s="389" t="str">
        <f>IF(I12&lt;&gt;"-",I12/D12/Param_porcs!H285*Param_porcs!F326,"-")</f>
        <v>-</v>
      </c>
      <c r="S12" s="389" t="str">
        <f>IF(J12&lt;&gt;"-",J12/D12/Param_porcs!H285*Param_porcs!F326,"-")</f>
        <v>-</v>
      </c>
      <c r="T12" s="389" t="str">
        <f>IF(K12&lt;&gt;"-",K12/D12/Param_porcs!H285,"-")</f>
        <v>-</v>
      </c>
      <c r="U12" s="389" t="str">
        <f>IF(L12&lt;&gt;"-",L12/D12/Param_porcs!H285,"-")</f>
        <v>-</v>
      </c>
      <c r="V12" s="380" t="str">
        <f>IF(M12&lt;&gt;"-",M12*1000/F12,"-")</f>
        <v>-</v>
      </c>
      <c r="W12" s="385" t="str">
        <f>IF(N12&lt;&gt;"-",N12*1000/F12,"-")</f>
        <v>-</v>
      </c>
      <c r="Y12" s="907"/>
      <c r="Z12" s="907"/>
      <c r="AA12" s="907"/>
      <c r="AB12" s="907"/>
      <c r="AC12" s="907"/>
      <c r="AD12" s="907"/>
      <c r="AE12" s="907"/>
      <c r="AF12" s="907"/>
      <c r="AG12" s="907"/>
      <c r="AH12" s="907"/>
      <c r="AI12" s="907"/>
      <c r="AJ12" s="907"/>
      <c r="AK12" s="907"/>
      <c r="AL12" s="907"/>
      <c r="AM12" s="907"/>
      <c r="AN12" s="907"/>
      <c r="AO12" s="907"/>
      <c r="AP12" s="907"/>
      <c r="AQ12" s="907"/>
      <c r="AR12" s="907"/>
      <c r="AS12" s="907"/>
      <c r="AT12" s="907"/>
      <c r="AU12" s="907"/>
      <c r="AV12" s="907"/>
      <c r="AW12" s="907"/>
      <c r="AX12" s="907"/>
      <c r="AY12" s="907"/>
      <c r="AZ12" s="907"/>
      <c r="BA12" s="907"/>
      <c r="BB12" s="907"/>
      <c r="BC12" s="907"/>
      <c r="BD12" s="907"/>
      <c r="BE12" s="907"/>
      <c r="BF12" s="907"/>
      <c r="BG12" s="907"/>
      <c r="BH12" s="907"/>
      <c r="BI12" s="907"/>
      <c r="BJ12" s="907"/>
      <c r="BK12" s="907"/>
      <c r="BL12" s="907"/>
    </row>
    <row r="13" spans="1:64" s="281" customFormat="1" x14ac:dyDescent="0.25">
      <c r="A13" s="365" t="s">
        <v>888</v>
      </c>
      <c r="B13" s="365" t="s">
        <v>516</v>
      </c>
      <c r="C13" s="370" t="s">
        <v>517</v>
      </c>
      <c r="D13" s="379">
        <f>IF(Param_porcs!C375&lt;&gt;0,Param_porcs!C375,"-")</f>
        <v>1268.7299169696969</v>
      </c>
      <c r="E13" s="384"/>
      <c r="F13" s="367">
        <f>Param_porcs!E375</f>
        <v>30.041242739429968</v>
      </c>
      <c r="G13" s="380">
        <f>Param_porcs!F375</f>
        <v>19.160832000000003</v>
      </c>
      <c r="H13" s="380">
        <f>Param_porcs!G375</f>
        <v>9.5804160000000014</v>
      </c>
      <c r="I13" s="367">
        <f>Param_porcs!H375</f>
        <v>2906.9999999999995</v>
      </c>
      <c r="J13" s="380">
        <f>Param_porcs!I375</f>
        <v>2128.7829930929693</v>
      </c>
      <c r="K13" s="387">
        <f>Param_porcs!J375</f>
        <v>2200</v>
      </c>
      <c r="L13" s="387">
        <f>IF(Param_porcs!K375&gt;0,Param_porcs!K375,"-")</f>
        <v>1920</v>
      </c>
      <c r="M13" s="380">
        <f>Param_porcs!L375</f>
        <v>3.6479999999999997</v>
      </c>
      <c r="N13" s="380">
        <f>Param_porcs!M375</f>
        <v>27.6</v>
      </c>
      <c r="O13" s="369">
        <f>IF(F13&lt;&gt;"-",F13/D13*100/Param_porcs!H285,"-")</f>
        <v>2.660472088955117</v>
      </c>
      <c r="P13" s="389">
        <f>IF(G13&lt;&gt;"-",G13/D13*100/Param_porcs!H285,"-")</f>
        <v>1.6968958035231181</v>
      </c>
      <c r="Q13" s="389">
        <f>IF(H13&lt;&gt;"-",H13/D13*100/Param_porcs!H285,"-")</f>
        <v>0.84844790176155904</v>
      </c>
      <c r="R13" s="389">
        <f>IF(I13&lt;&gt;"-",I13/D13/Param_porcs!H285*Param_porcs!F327,"-")</f>
        <v>2.4402447367242632</v>
      </c>
      <c r="S13" s="389">
        <f>IF(J13&lt;&gt;"-",J13/D13/Param_porcs!H285*Param_porcs!F327,"-")</f>
        <v>1.7869802182742494</v>
      </c>
      <c r="T13" s="389">
        <f>IF(K13&lt;&gt;"-",K13/D13/Param_porcs!H285,"-")</f>
        <v>1.9483343769993178</v>
      </c>
      <c r="U13" s="389">
        <f>IF(L13&lt;&gt;"-",L13/D13/Param_porcs!H285,"-")</f>
        <v>1.7003645471994044</v>
      </c>
      <c r="V13" s="380">
        <f t="shared" ref="V13:V17" si="0">IF(M13&lt;&gt;"-",M13*1000/F13,"-")</f>
        <v>121.43305893307462</v>
      </c>
      <c r="W13" s="385">
        <f t="shared" ref="W13:W17" si="1">IF(N13&lt;&gt;"-",N13*1000/F13,"-")</f>
        <v>918.73695903313046</v>
      </c>
      <c r="Y13" s="907"/>
      <c r="Z13" s="907"/>
      <c r="AA13" s="907"/>
      <c r="AB13" s="907"/>
      <c r="AC13" s="907"/>
      <c r="AD13" s="907"/>
      <c r="AE13" s="907"/>
      <c r="AF13" s="907"/>
      <c r="AG13" s="907"/>
      <c r="AH13" s="907"/>
      <c r="AI13" s="907"/>
      <c r="AJ13" s="907"/>
      <c r="AK13" s="907"/>
      <c r="AL13" s="907"/>
      <c r="AM13" s="907"/>
      <c r="AN13" s="907"/>
      <c r="AO13" s="907"/>
      <c r="AP13" s="907"/>
      <c r="AQ13" s="907"/>
      <c r="AR13" s="907"/>
      <c r="AS13" s="907"/>
      <c r="AT13" s="907"/>
      <c r="AU13" s="907"/>
      <c r="AV13" s="907"/>
      <c r="AW13" s="907"/>
      <c r="AX13" s="907"/>
      <c r="AY13" s="907"/>
      <c r="AZ13" s="907"/>
      <c r="BA13" s="907"/>
      <c r="BB13" s="907"/>
      <c r="BC13" s="907"/>
      <c r="BD13" s="907"/>
      <c r="BE13" s="907"/>
      <c r="BF13" s="907"/>
      <c r="BG13" s="907"/>
      <c r="BH13" s="907"/>
      <c r="BI13" s="907"/>
      <c r="BJ13" s="907"/>
      <c r="BK13" s="907"/>
      <c r="BL13" s="907"/>
    </row>
    <row r="14" spans="1:64" s="281" customFormat="1" x14ac:dyDescent="0.25">
      <c r="A14" s="365"/>
      <c r="B14" s="365" t="s">
        <v>522</v>
      </c>
      <c r="C14" s="370" t="s">
        <v>523</v>
      </c>
      <c r="D14" s="379" t="str">
        <f>IF(Param_porcs!C376&lt;&gt;0,Param_porcs!C376,"-")</f>
        <v>-</v>
      </c>
      <c r="E14" s="378"/>
      <c r="F14" s="367" t="str">
        <f>Param_porcs!E376</f>
        <v>-</v>
      </c>
      <c r="G14" s="380" t="str">
        <f>Param_porcs!F376</f>
        <v>-</v>
      </c>
      <c r="H14" s="380" t="str">
        <f>Param_porcs!G376</f>
        <v>-</v>
      </c>
      <c r="I14" s="367" t="str">
        <f>Param_porcs!H376</f>
        <v>-</v>
      </c>
      <c r="J14" s="380" t="str">
        <f>Param_porcs!I376</f>
        <v>-</v>
      </c>
      <c r="K14" s="387" t="str">
        <f>Param_porcs!J376</f>
        <v>-</v>
      </c>
      <c r="L14" s="387" t="str">
        <f>IF(Param_porcs!K376&gt;0,Param_porcs!K376,"-")</f>
        <v>-</v>
      </c>
      <c r="M14" s="380" t="str">
        <f>Param_porcs!L376</f>
        <v>-</v>
      </c>
      <c r="N14" s="380" t="str">
        <f>Param_porcs!M376</f>
        <v>-</v>
      </c>
      <c r="O14" s="369" t="str">
        <f t="shared" ref="O14:O17" si="2">IF(F14&lt;&gt;"-",F14/D14*100,"-")</f>
        <v>-</v>
      </c>
      <c r="P14" s="389" t="str">
        <f t="shared" ref="P14:P17" si="3">IF(G14&lt;&gt;"-",G14/D14*100,"-")</f>
        <v>-</v>
      </c>
      <c r="Q14" s="389" t="str">
        <f t="shared" ref="Q14:Q17" si="4">IF(H14&lt;&gt;"-",H14/D14*100,"-")</f>
        <v>-</v>
      </c>
      <c r="R14" s="389" t="str">
        <f t="shared" ref="R14:R17" si="5">IF(I14&lt;&gt;"-",I14/D14,"-")</f>
        <v>-</v>
      </c>
      <c r="S14" s="389" t="str">
        <f t="shared" ref="S14:S17" si="6">IF(J14&lt;&gt;"-",J14/D14,"-")</f>
        <v>-</v>
      </c>
      <c r="T14" s="389" t="str">
        <f t="shared" ref="T14:T17" si="7">IF(K14&lt;&gt;"-",K14/D14,"-")</f>
        <v>-</v>
      </c>
      <c r="U14" s="389" t="str">
        <f t="shared" ref="U14:U17" si="8">IF(L14&lt;&gt;"-",L14/D14,"-")</f>
        <v>-</v>
      </c>
      <c r="V14" s="380" t="str">
        <f t="shared" si="0"/>
        <v>-</v>
      </c>
      <c r="W14" s="385" t="str">
        <f t="shared" si="1"/>
        <v>-</v>
      </c>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907"/>
      <c r="BH14" s="907"/>
      <c r="BI14" s="907"/>
      <c r="BJ14" s="907"/>
      <c r="BK14" s="907"/>
      <c r="BL14" s="907"/>
    </row>
    <row r="15" spans="1:64" s="281" customFormat="1" x14ac:dyDescent="0.25">
      <c r="A15" s="365"/>
      <c r="B15" s="365"/>
      <c r="C15" s="370" t="s">
        <v>524</v>
      </c>
      <c r="D15" s="379">
        <f>IF(Param_porcs!C377&lt;&gt;0,Param_porcs!C377,"-")</f>
        <v>100</v>
      </c>
      <c r="E15" s="381" t="s">
        <v>303</v>
      </c>
      <c r="F15" s="367">
        <f>Param_porcs!E377</f>
        <v>34.475212799999994</v>
      </c>
      <c r="G15" s="380">
        <f>Param_porcs!F377</f>
        <v>22.615739596799997</v>
      </c>
      <c r="H15" s="380">
        <f>Param_porcs!G377</f>
        <v>11.307869798399999</v>
      </c>
      <c r="I15" s="367">
        <f>Param_porcs!H377</f>
        <v>921.49570207744</v>
      </c>
      <c r="J15" s="380">
        <f>Param_porcs!I377</f>
        <v>96.757048718131188</v>
      </c>
      <c r="K15" s="387">
        <f>Param_porcs!J377</f>
        <v>1164.8</v>
      </c>
      <c r="L15" s="387">
        <f>IF(Param_porcs!K377&gt;0,Param_porcs!K377,"-")</f>
        <v>2150.4</v>
      </c>
      <c r="M15" s="380">
        <f>Param_porcs!L377</f>
        <v>54.118400000000001</v>
      </c>
      <c r="N15" s="380">
        <f>Param_porcs!M377</f>
        <v>44.083199999999998</v>
      </c>
      <c r="O15" s="369">
        <f t="shared" si="2"/>
        <v>34.475212799999994</v>
      </c>
      <c r="P15" s="389">
        <f t="shared" si="3"/>
        <v>22.615739596799997</v>
      </c>
      <c r="Q15" s="389">
        <f t="shared" si="4"/>
        <v>11.307869798399999</v>
      </c>
      <c r="R15" s="389">
        <f t="shared" si="5"/>
        <v>9.2149570207743992</v>
      </c>
      <c r="S15" s="389">
        <f t="shared" si="6"/>
        <v>0.96757048718131189</v>
      </c>
      <c r="T15" s="389">
        <f t="shared" si="7"/>
        <v>11.648</v>
      </c>
      <c r="U15" s="389">
        <f t="shared" si="8"/>
        <v>21.504000000000001</v>
      </c>
      <c r="V15" s="380">
        <f t="shared" si="0"/>
        <v>1569.7771124417834</v>
      </c>
      <c r="W15" s="385">
        <f t="shared" si="1"/>
        <v>1278.6926147704592</v>
      </c>
      <c r="Y15" s="907"/>
      <c r="Z15" s="907"/>
      <c r="AA15" s="907"/>
      <c r="AB15" s="907"/>
      <c r="AC15" s="907"/>
      <c r="AD15" s="907"/>
      <c r="AE15" s="907"/>
      <c r="AF15" s="907"/>
      <c r="AG15" s="907"/>
      <c r="AH15" s="907"/>
      <c r="AI15" s="907"/>
      <c r="AJ15" s="907"/>
      <c r="AK15" s="907"/>
      <c r="AL15" s="907"/>
      <c r="AM15" s="907"/>
      <c r="AN15" s="907"/>
      <c r="AO15" s="907"/>
      <c r="AP15" s="907"/>
      <c r="AQ15" s="907"/>
      <c r="AR15" s="907"/>
      <c r="AS15" s="907"/>
      <c r="AT15" s="907"/>
      <c r="AU15" s="907"/>
      <c r="AV15" s="907"/>
      <c r="AW15" s="907"/>
      <c r="AX15" s="907"/>
      <c r="AY15" s="907"/>
      <c r="AZ15" s="907"/>
      <c r="BA15" s="907"/>
      <c r="BB15" s="907"/>
      <c r="BC15" s="907"/>
      <c r="BD15" s="907"/>
      <c r="BE15" s="907"/>
      <c r="BF15" s="907"/>
      <c r="BG15" s="907"/>
      <c r="BH15" s="907"/>
      <c r="BI15" s="907"/>
      <c r="BJ15" s="907"/>
      <c r="BK15" s="907"/>
      <c r="BL15" s="907"/>
    </row>
    <row r="16" spans="1:64" s="281" customFormat="1" x14ac:dyDescent="0.25">
      <c r="A16" s="365"/>
      <c r="B16" s="365"/>
      <c r="C16" s="370" t="s">
        <v>525</v>
      </c>
      <c r="D16" s="379">
        <f>IF(Param_porcs!C378&lt;&gt;0,Param_porcs!C378+IF(Param_porcs!G16=51,IF('Porc (Aliments)'!E2&lt;&gt;"Méthode du BRS","impossible",0))+IF(Param_porcs!G17=51,IF('Porc (Aliments)'!E2&lt;&gt;"Méthode du BRS","impossible",0))+IF(Param_porcs!G18=51,IF('Porc (Aliments)'!E2&lt;&gt;"Méthode du BRS","impossible",0)),"-")</f>
        <v>1043.8400000000001</v>
      </c>
      <c r="E16" s="381"/>
      <c r="F16" s="367">
        <f>Param_porcs!E378</f>
        <v>336.11648000000008</v>
      </c>
      <c r="G16" s="380">
        <f>Param_porcs!F378</f>
        <v>281.01212464640008</v>
      </c>
      <c r="H16" s="380">
        <f>Param_porcs!G378</f>
        <v>140.50606232320004</v>
      </c>
      <c r="I16" s="367">
        <f>Param_porcs!H378</f>
        <v>5107.2000000000007</v>
      </c>
      <c r="J16" s="380">
        <f>Param_porcs!I378</f>
        <v>868.22400000000027</v>
      </c>
      <c r="K16" s="387">
        <f>Param_porcs!J378</f>
        <v>6496</v>
      </c>
      <c r="L16" s="387">
        <f>IF(Param_porcs!K378&gt;0,Param_porcs!K378,"-")</f>
        <v>8736</v>
      </c>
      <c r="M16" s="380">
        <f>Param_porcs!L378</f>
        <v>18.6816</v>
      </c>
      <c r="N16" s="380">
        <f>Param_porcs!M378</f>
        <v>100.44160000000001</v>
      </c>
      <c r="O16" s="369">
        <f t="shared" si="2"/>
        <v>32.200000000000003</v>
      </c>
      <c r="P16" s="389">
        <f t="shared" si="3"/>
        <v>26.920996000000002</v>
      </c>
      <c r="Q16" s="389">
        <f t="shared" si="4"/>
        <v>13.460498000000001</v>
      </c>
      <c r="R16" s="389">
        <f t="shared" si="5"/>
        <v>4.8927038626609445</v>
      </c>
      <c r="S16" s="389">
        <f t="shared" si="6"/>
        <v>0.83175965665236062</v>
      </c>
      <c r="T16" s="389">
        <f t="shared" si="7"/>
        <v>6.2231759656652352</v>
      </c>
      <c r="U16" s="389">
        <f t="shared" si="8"/>
        <v>8.3690987124463501</v>
      </c>
      <c r="V16" s="380">
        <f t="shared" si="0"/>
        <v>55.580732012902175</v>
      </c>
      <c r="W16" s="385">
        <f t="shared" si="1"/>
        <v>298.82973902380502</v>
      </c>
      <c r="Y16" s="907"/>
      <c r="Z16" s="907"/>
      <c r="AA16" s="907"/>
      <c r="AB16" s="907"/>
      <c r="AC16" s="907"/>
      <c r="AD16" s="907"/>
      <c r="AE16" s="907"/>
      <c r="AF16" s="907"/>
      <c r="AG16" s="907"/>
      <c r="AH16" s="907"/>
      <c r="AI16" s="907"/>
      <c r="AJ16" s="907"/>
      <c r="AK16" s="907"/>
      <c r="AL16" s="907"/>
      <c r="AM16" s="907"/>
      <c r="AN16" s="907"/>
      <c r="AO16" s="907"/>
      <c r="AP16" s="907"/>
      <c r="AQ16" s="907"/>
      <c r="AR16" s="907"/>
      <c r="AS16" s="907"/>
      <c r="AT16" s="907"/>
      <c r="AU16" s="907"/>
      <c r="AV16" s="907"/>
      <c r="AW16" s="907"/>
      <c r="AX16" s="907"/>
      <c r="AY16" s="907"/>
      <c r="AZ16" s="907"/>
      <c r="BA16" s="907"/>
      <c r="BB16" s="907"/>
      <c r="BC16" s="907"/>
      <c r="BD16" s="907"/>
      <c r="BE16" s="907"/>
      <c r="BF16" s="907"/>
      <c r="BG16" s="907"/>
      <c r="BH16" s="907"/>
      <c r="BI16" s="907"/>
      <c r="BJ16" s="907"/>
      <c r="BK16" s="907"/>
      <c r="BL16" s="907"/>
    </row>
    <row r="17" spans="1:64" s="281" customFormat="1" x14ac:dyDescent="0.25">
      <c r="A17" s="356"/>
      <c r="B17" s="356"/>
      <c r="C17" s="372" t="s">
        <v>526</v>
      </c>
      <c r="D17" s="382" t="str">
        <f>IF(Param_porcs!C379&lt;&gt;0,Param_porcs!C379+IF(Param_porcs!G16=61,IF('Porc (Aliments)'!E2&lt;&gt;"Méthode du BRS","impossible",0))+IF(Param_porcs!G17=61,IF('Porc (Aliments)'!E2&lt;&gt;"Méthode du BRS","impossible",0))+IF(Param_porcs!G18=61,IF('Porc (Aliments)'!E2&lt;&gt;"Méthode du BRS","impossible",0)),"-")</f>
        <v>-</v>
      </c>
      <c r="E17" s="384"/>
      <c r="F17" s="357" t="str">
        <f>Param_porcs!E379</f>
        <v>-</v>
      </c>
      <c r="G17" s="383" t="str">
        <f>Param_porcs!F379</f>
        <v>-</v>
      </c>
      <c r="H17" s="383" t="str">
        <f>Param_porcs!G379</f>
        <v>-</v>
      </c>
      <c r="I17" s="357" t="str">
        <f>Param_porcs!H379</f>
        <v>-</v>
      </c>
      <c r="J17" s="383" t="str">
        <f>Param_porcs!I379</f>
        <v>-</v>
      </c>
      <c r="K17" s="388" t="str">
        <f>Param_porcs!J379</f>
        <v>-</v>
      </c>
      <c r="L17" s="388" t="str">
        <f>IF(Param_porcs!K379&gt;0,Param_porcs!K379,"-")</f>
        <v>-</v>
      </c>
      <c r="M17" s="383" t="str">
        <f>Param_porcs!L379</f>
        <v>-</v>
      </c>
      <c r="N17" s="383" t="str">
        <f>Param_porcs!M379</f>
        <v>-</v>
      </c>
      <c r="O17" s="358" t="str">
        <f t="shared" si="2"/>
        <v>-</v>
      </c>
      <c r="P17" s="391" t="str">
        <f t="shared" si="3"/>
        <v>-</v>
      </c>
      <c r="Q17" s="391" t="str">
        <f t="shared" si="4"/>
        <v>-</v>
      </c>
      <c r="R17" s="391" t="str">
        <f t="shared" si="5"/>
        <v>-</v>
      </c>
      <c r="S17" s="391" t="str">
        <f t="shared" si="6"/>
        <v>-</v>
      </c>
      <c r="T17" s="391" t="str">
        <f t="shared" si="7"/>
        <v>-</v>
      </c>
      <c r="U17" s="391" t="str">
        <f t="shared" si="8"/>
        <v>-</v>
      </c>
      <c r="V17" s="383" t="str">
        <f t="shared" si="0"/>
        <v>-</v>
      </c>
      <c r="W17" s="386" t="str">
        <f t="shared" si="1"/>
        <v>-</v>
      </c>
      <c r="Y17" s="907"/>
      <c r="Z17" s="907"/>
      <c r="AA17" s="907"/>
      <c r="AB17" s="907"/>
      <c r="AC17" s="907"/>
      <c r="AD17" s="907"/>
      <c r="AE17" s="907"/>
      <c r="AF17" s="907"/>
      <c r="AG17" s="907"/>
      <c r="AH17" s="907"/>
      <c r="AI17" s="907"/>
      <c r="AJ17" s="907"/>
      <c r="AK17" s="907"/>
      <c r="AL17" s="907"/>
      <c r="AM17" s="907"/>
      <c r="AN17" s="907"/>
      <c r="AO17" s="907"/>
      <c r="AP17" s="907"/>
      <c r="AQ17" s="907"/>
      <c r="AR17" s="907"/>
      <c r="AS17" s="907"/>
      <c r="AT17" s="907"/>
      <c r="AU17" s="907"/>
      <c r="AV17" s="907"/>
      <c r="AW17" s="907"/>
      <c r="AX17" s="907"/>
      <c r="AY17" s="907"/>
      <c r="AZ17" s="907"/>
      <c r="BA17" s="907"/>
      <c r="BB17" s="907"/>
      <c r="BC17" s="907"/>
      <c r="BD17" s="907"/>
      <c r="BE17" s="907"/>
      <c r="BF17" s="907"/>
      <c r="BG17" s="907"/>
      <c r="BH17" s="907"/>
      <c r="BI17" s="907"/>
      <c r="BJ17" s="907"/>
      <c r="BK17" s="907"/>
      <c r="BL17" s="907"/>
    </row>
    <row r="18" spans="1:64" s="281" customFormat="1" x14ac:dyDescent="0.25">
      <c r="A18" s="373" t="s">
        <v>448</v>
      </c>
      <c r="B18" s="401" t="str">
        <f>'Feuille saisie commune'!F19</f>
        <v>Bout de champ (fumier paille frais)</v>
      </c>
      <c r="C18" s="401" t="str">
        <f>'Excretion Avi'!A24</f>
        <v>Fumier</v>
      </c>
      <c r="D18" s="379">
        <f>'Excretion Avi'!B24</f>
        <v>195.9375</v>
      </c>
      <c r="E18" s="881" t="str">
        <f>IF('Excretion Avi'!A24="Lisier","m3/an","t/an")</f>
        <v>t/an</v>
      </c>
      <c r="F18" s="354">
        <f>'Excretion Avi'!C24*Résultats!D18</f>
        <v>114.62343750000001</v>
      </c>
      <c r="G18" s="377">
        <f>'Excretion Avi'!D24*D18/1000</f>
        <v>32.094562500000016</v>
      </c>
      <c r="H18" s="544">
        <f>'Excretion Avi'!E24*Résultats!D18/1000</f>
        <v>50.943750000000001</v>
      </c>
      <c r="I18" s="377">
        <f>'Excretion Avi'!F24*Résultats!D18</f>
        <v>21554.367388217255</v>
      </c>
      <c r="J18" s="377">
        <f>VLOOKUP('Feuille saisie commune'!C19,Param_volailles!A58:E62,5,FALSE)*Résultats!I18</f>
        <v>6035.2228687008319</v>
      </c>
      <c r="K18" s="377">
        <f>'Excretion Avi'!G24*Résultats!D18*2.29</f>
        <v>38033.877200000003</v>
      </c>
      <c r="L18" s="377">
        <f>'Excretion Avi'!H24*Résultats!D18*1.21</f>
        <v>13074.146800000002</v>
      </c>
      <c r="M18" s="377">
        <f>'Excretion Avi'!J24*Résultats!D18</f>
        <v>950.39384000000007</v>
      </c>
      <c r="N18" s="377">
        <f>'Excretion Avi'!K24*Résultats!D18</f>
        <v>1425.5031999999999</v>
      </c>
      <c r="O18" s="543">
        <f>IF(F18&lt;&gt;"-",F18/$D$18*100,"-")</f>
        <v>58.500000000000007</v>
      </c>
      <c r="P18" s="377">
        <f>IF(G18&lt;&gt;"-",G18/$D$18*100,"-")</f>
        <v>16.38000000000001</v>
      </c>
      <c r="Q18" s="377">
        <f>IF(H18&lt;&gt;"-",H18/$D$18*100,"-")</f>
        <v>26</v>
      </c>
      <c r="R18" s="377">
        <f>'Excretion Avi'!F24</f>
        <v>110.00634073731294</v>
      </c>
      <c r="S18" s="377">
        <f>IF(J18&lt;&gt;"-",J18/$D$18,"-")</f>
        <v>30.801775406447629</v>
      </c>
      <c r="T18" s="377">
        <f>'Excretion Avi'!G24*2.29</f>
        <v>194.11229192982458</v>
      </c>
      <c r="U18" s="377">
        <f>'Excretion Avi'!G24*1.21</f>
        <v>102.56588350877193</v>
      </c>
      <c r="V18" s="377">
        <f>IF(M18&lt;&gt;"-",M18*1000/$F$18,"-")</f>
        <v>8291.4442345179195</v>
      </c>
      <c r="W18" s="544">
        <f>IF(N18&lt;&gt;"-",N18*1000/$F$18,"-")</f>
        <v>12436.402459139299</v>
      </c>
      <c r="Y18" s="907"/>
      <c r="Z18" s="907"/>
      <c r="AA18" s="907"/>
      <c r="AB18" s="907"/>
      <c r="AC18" s="907"/>
      <c r="AD18" s="907"/>
      <c r="AE18" s="907"/>
      <c r="AF18" s="907"/>
      <c r="AG18" s="907"/>
      <c r="AH18" s="907"/>
      <c r="AI18" s="907"/>
      <c r="AJ18" s="907"/>
      <c r="AK18" s="907"/>
      <c r="AL18" s="907"/>
      <c r="AM18" s="907"/>
      <c r="AN18" s="907"/>
      <c r="AO18" s="907"/>
      <c r="AP18" s="907"/>
      <c r="AQ18" s="907"/>
      <c r="AR18" s="907"/>
      <c r="AS18" s="907"/>
      <c r="AT18" s="907"/>
      <c r="AU18" s="907"/>
      <c r="AV18" s="907"/>
      <c r="AW18" s="907"/>
      <c r="AX18" s="907"/>
      <c r="AY18" s="907"/>
      <c r="AZ18" s="907"/>
      <c r="BA18" s="907"/>
      <c r="BB18" s="907"/>
      <c r="BC18" s="907"/>
      <c r="BD18" s="907"/>
      <c r="BE18" s="907"/>
      <c r="BF18" s="907"/>
      <c r="BG18" s="907"/>
      <c r="BH18" s="907"/>
      <c r="BI18" s="907"/>
      <c r="BJ18" s="907"/>
      <c r="BK18" s="907"/>
      <c r="BL18" s="907"/>
    </row>
    <row r="19" spans="1:64" s="281" customFormat="1" x14ac:dyDescent="0.25">
      <c r="A19" s="365"/>
      <c r="B19" s="365"/>
      <c r="C19" s="365"/>
      <c r="D19" s="365"/>
      <c r="E19" s="365"/>
      <c r="F19" s="370"/>
      <c r="G19" s="366"/>
      <c r="H19" s="371"/>
      <c r="I19" s="366"/>
      <c r="J19" s="366"/>
      <c r="K19" s="366"/>
      <c r="L19" s="366"/>
      <c r="M19" s="366"/>
      <c r="N19" s="366"/>
      <c r="O19" s="370"/>
      <c r="P19" s="366"/>
      <c r="Q19" s="366"/>
      <c r="R19" s="366"/>
      <c r="S19" s="366"/>
      <c r="T19" s="366"/>
      <c r="U19" s="366"/>
      <c r="V19" s="366"/>
      <c r="W19" s="371"/>
      <c r="Y19" s="907"/>
      <c r="Z19" s="907"/>
      <c r="AA19" s="907"/>
      <c r="AB19" s="907"/>
      <c r="AC19" s="907"/>
      <c r="AD19" s="907"/>
      <c r="AE19" s="907"/>
      <c r="AF19" s="907"/>
      <c r="AG19" s="907"/>
      <c r="AH19" s="907"/>
      <c r="AI19" s="907"/>
      <c r="AJ19" s="907"/>
      <c r="AK19" s="907"/>
      <c r="AL19" s="907"/>
      <c r="AM19" s="907"/>
      <c r="AN19" s="907"/>
      <c r="AO19" s="907"/>
      <c r="AP19" s="907"/>
      <c r="AQ19" s="907"/>
      <c r="AR19" s="907"/>
      <c r="AS19" s="907"/>
      <c r="AT19" s="907"/>
      <c r="AU19" s="907"/>
      <c r="AV19" s="907"/>
      <c r="AW19" s="907"/>
      <c r="AX19" s="907"/>
      <c r="AY19" s="907"/>
      <c r="AZ19" s="907"/>
      <c r="BA19" s="907"/>
      <c r="BB19" s="907"/>
      <c r="BC19" s="907"/>
      <c r="BD19" s="907"/>
      <c r="BE19" s="907"/>
      <c r="BF19" s="907"/>
      <c r="BG19" s="907"/>
      <c r="BH19" s="907"/>
      <c r="BI19" s="907"/>
      <c r="BJ19" s="907"/>
      <c r="BK19" s="907"/>
      <c r="BL19" s="907"/>
    </row>
    <row r="20" spans="1:64" s="281" customFormat="1" x14ac:dyDescent="0.25">
      <c r="A20" s="374"/>
      <c r="B20" s="351"/>
      <c r="C20" s="351"/>
      <c r="D20" s="351"/>
      <c r="E20" s="351"/>
      <c r="F20" s="305"/>
      <c r="G20" s="306"/>
      <c r="H20" s="307"/>
      <c r="I20" s="306"/>
      <c r="J20" s="306"/>
      <c r="K20" s="306"/>
      <c r="L20" s="306"/>
      <c r="M20" s="306"/>
      <c r="N20" s="306"/>
      <c r="O20" s="305"/>
      <c r="P20" s="306"/>
      <c r="Q20" s="306"/>
      <c r="R20" s="306"/>
      <c r="S20" s="306"/>
      <c r="T20" s="306"/>
      <c r="U20" s="306"/>
      <c r="V20" s="306"/>
      <c r="W20" s="307"/>
      <c r="Y20" s="907"/>
      <c r="Z20" s="907"/>
      <c r="AA20" s="907"/>
      <c r="AB20" s="907"/>
      <c r="AC20" s="907"/>
      <c r="AD20" s="907"/>
      <c r="AE20" s="907"/>
      <c r="AF20" s="907"/>
      <c r="AG20" s="907"/>
      <c r="AH20" s="907"/>
      <c r="AI20" s="907"/>
      <c r="AJ20" s="907"/>
      <c r="AK20" s="907"/>
      <c r="AL20" s="907"/>
      <c r="AM20" s="907"/>
      <c r="AN20" s="907"/>
      <c r="AO20" s="907"/>
      <c r="AP20" s="907"/>
      <c r="AQ20" s="907"/>
      <c r="AR20" s="907"/>
      <c r="AS20" s="907"/>
      <c r="AT20" s="907"/>
      <c r="AU20" s="907"/>
      <c r="AV20" s="907"/>
      <c r="AW20" s="907"/>
      <c r="AX20" s="907"/>
      <c r="AY20" s="907"/>
      <c r="AZ20" s="907"/>
      <c r="BA20" s="907"/>
      <c r="BB20" s="907"/>
      <c r="BC20" s="907"/>
      <c r="BD20" s="907"/>
      <c r="BE20" s="907"/>
      <c r="BF20" s="907"/>
      <c r="BG20" s="907"/>
      <c r="BH20" s="907"/>
      <c r="BI20" s="907"/>
      <c r="BJ20" s="907"/>
      <c r="BK20" s="907"/>
      <c r="BL20" s="907"/>
    </row>
    <row r="21" spans="1:64" s="281" customFormat="1" x14ac:dyDescent="0.25">
      <c r="A21" s="295"/>
      <c r="Y21" s="907"/>
      <c r="Z21" s="907"/>
      <c r="AA21" s="907"/>
      <c r="AB21" s="907"/>
      <c r="AC21" s="907"/>
      <c r="AD21" s="907"/>
      <c r="AE21" s="907"/>
      <c r="AF21" s="907"/>
      <c r="AG21" s="907"/>
      <c r="AH21" s="907"/>
      <c r="AI21" s="907"/>
      <c r="AJ21" s="907"/>
      <c r="AK21" s="907"/>
      <c r="AL21" s="907"/>
      <c r="AM21" s="907"/>
      <c r="AN21" s="907"/>
      <c r="AO21" s="907"/>
      <c r="AP21" s="907"/>
      <c r="AQ21" s="907"/>
      <c r="AR21" s="907"/>
      <c r="AS21" s="907"/>
      <c r="AT21" s="907"/>
      <c r="AU21" s="907"/>
      <c r="AV21" s="907"/>
      <c r="AW21" s="907"/>
      <c r="AX21" s="907"/>
      <c r="AY21" s="907"/>
      <c r="AZ21" s="907"/>
      <c r="BA21" s="907"/>
      <c r="BB21" s="907"/>
      <c r="BC21" s="907"/>
      <c r="BD21" s="907"/>
      <c r="BE21" s="907"/>
      <c r="BF21" s="907"/>
      <c r="BG21" s="907"/>
      <c r="BH21" s="907"/>
      <c r="BI21" s="907"/>
      <c r="BJ21" s="907"/>
      <c r="BK21" s="907"/>
      <c r="BL21" s="907"/>
    </row>
    <row r="22" spans="1:64" s="281" customFormat="1" x14ac:dyDescent="0.25">
      <c r="A22" s="295"/>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7"/>
      <c r="AY22" s="907"/>
      <c r="AZ22" s="907"/>
      <c r="BA22" s="907"/>
      <c r="BB22" s="907"/>
      <c r="BC22" s="907"/>
      <c r="BD22" s="907"/>
      <c r="BE22" s="907"/>
      <c r="BF22" s="907"/>
      <c r="BG22" s="907"/>
      <c r="BH22" s="907"/>
      <c r="BI22" s="907"/>
      <c r="BJ22" s="907"/>
      <c r="BK22" s="907"/>
      <c r="BL22" s="907"/>
    </row>
    <row r="23" spans="1:64" s="281" customFormat="1" x14ac:dyDescent="0.25">
      <c r="A23" s="295"/>
      <c r="Y23" s="907"/>
      <c r="Z23" s="907"/>
      <c r="AA23" s="907"/>
      <c r="AB23" s="907"/>
      <c r="AC23" s="907"/>
      <c r="AD23" s="907"/>
      <c r="AE23" s="907"/>
      <c r="AF23" s="907"/>
      <c r="AG23" s="907"/>
      <c r="AH23" s="907"/>
      <c r="AI23" s="907"/>
      <c r="AJ23" s="907"/>
      <c r="AK23" s="907"/>
      <c r="AL23" s="907"/>
      <c r="AM23" s="907"/>
      <c r="AN23" s="907"/>
      <c r="AO23" s="907"/>
      <c r="AP23" s="907"/>
      <c r="AQ23" s="907"/>
      <c r="AR23" s="907"/>
      <c r="AS23" s="907"/>
      <c r="AT23" s="907"/>
      <c r="AU23" s="907"/>
      <c r="AV23" s="907"/>
      <c r="AW23" s="907"/>
      <c r="AX23" s="907"/>
      <c r="AY23" s="907"/>
      <c r="AZ23" s="907"/>
      <c r="BA23" s="907"/>
      <c r="BB23" s="907"/>
      <c r="BC23" s="907"/>
      <c r="BD23" s="907"/>
      <c r="BE23" s="907"/>
      <c r="BF23" s="907"/>
      <c r="BG23" s="907"/>
      <c r="BH23" s="907"/>
      <c r="BI23" s="907"/>
      <c r="BJ23" s="907"/>
      <c r="BK23" s="907"/>
      <c r="BL23" s="907"/>
    </row>
    <row r="24" spans="1:64" s="281" customFormat="1" x14ac:dyDescent="0.25">
      <c r="A24" s="291"/>
      <c r="B24" s="295"/>
      <c r="C24" s="282"/>
      <c r="Y24" s="907"/>
      <c r="Z24" s="907"/>
      <c r="AA24" s="907"/>
      <c r="AB24" s="907"/>
      <c r="AC24" s="907"/>
      <c r="AD24" s="907"/>
      <c r="AE24" s="907"/>
      <c r="AF24" s="907"/>
      <c r="AG24" s="907"/>
      <c r="AH24" s="907"/>
      <c r="AI24" s="907"/>
      <c r="AJ24" s="907"/>
      <c r="AK24" s="907"/>
      <c r="AL24" s="907"/>
      <c r="AM24" s="907"/>
      <c r="AN24" s="907"/>
      <c r="AO24" s="907"/>
      <c r="AP24" s="907"/>
      <c r="AQ24" s="907"/>
      <c r="AR24" s="907"/>
      <c r="AS24" s="907"/>
      <c r="AT24" s="907"/>
      <c r="AU24" s="907"/>
      <c r="AV24" s="907"/>
      <c r="AW24" s="907"/>
      <c r="AX24" s="907"/>
      <c r="AY24" s="907"/>
      <c r="AZ24" s="907"/>
      <c r="BA24" s="907"/>
      <c r="BB24" s="907"/>
      <c r="BC24" s="907"/>
      <c r="BD24" s="907"/>
      <c r="BE24" s="907"/>
      <c r="BF24" s="907"/>
      <c r="BG24" s="907"/>
      <c r="BH24" s="907"/>
      <c r="BI24" s="907"/>
      <c r="BJ24" s="907"/>
      <c r="BK24" s="907"/>
      <c r="BL24" s="907"/>
    </row>
    <row r="25" spans="1:64" s="281" customFormat="1" x14ac:dyDescent="0.25">
      <c r="A25" s="295"/>
      <c r="Y25" s="907"/>
      <c r="Z25" s="907"/>
      <c r="AA25" s="907"/>
      <c r="AB25" s="907"/>
      <c r="AC25" s="907"/>
      <c r="AD25" s="907"/>
      <c r="AE25" s="907"/>
      <c r="AF25" s="907"/>
      <c r="AG25" s="907"/>
      <c r="AH25" s="907"/>
      <c r="AI25" s="907"/>
      <c r="AJ25" s="907"/>
      <c r="AK25" s="907"/>
      <c r="AL25" s="907"/>
      <c r="AM25" s="907"/>
      <c r="AN25" s="907"/>
      <c r="AO25" s="907"/>
      <c r="AP25" s="907"/>
      <c r="AQ25" s="907"/>
      <c r="AR25" s="907"/>
      <c r="AS25" s="907"/>
      <c r="AT25" s="907"/>
      <c r="AU25" s="907"/>
      <c r="AV25" s="907"/>
      <c r="AW25" s="907"/>
      <c r="AX25" s="907"/>
      <c r="AY25" s="907"/>
      <c r="AZ25" s="907"/>
      <c r="BA25" s="907"/>
      <c r="BB25" s="907"/>
      <c r="BC25" s="907"/>
      <c r="BD25" s="907"/>
      <c r="BE25" s="907"/>
      <c r="BF25" s="907"/>
      <c r="BG25" s="907"/>
      <c r="BH25" s="907"/>
      <c r="BI25" s="907"/>
      <c r="BJ25" s="907"/>
      <c r="BK25" s="907"/>
      <c r="BL25" s="907"/>
    </row>
    <row r="26" spans="1:64" x14ac:dyDescent="0.25">
      <c r="A26" s="277"/>
      <c r="B26" s="277"/>
      <c r="C26" s="263"/>
      <c r="D26" s="263"/>
      <c r="E26" s="263"/>
      <c r="F26" s="263"/>
      <c r="G26" s="263"/>
      <c r="H26" s="263"/>
      <c r="I26" s="263"/>
      <c r="J26" s="263"/>
      <c r="K26" s="263"/>
      <c r="L26" s="263"/>
      <c r="M26" s="263"/>
      <c r="N26" s="256"/>
      <c r="O26" s="256"/>
      <c r="P26" s="256"/>
      <c r="Q26" s="256"/>
      <c r="R26" s="256"/>
      <c r="S26" s="256"/>
      <c r="T26" s="256"/>
      <c r="U26" s="256"/>
      <c r="V26" s="256"/>
    </row>
    <row r="27" spans="1:64" x14ac:dyDescent="0.25">
      <c r="A27" s="277"/>
      <c r="B27" s="277"/>
      <c r="C27" s="263"/>
      <c r="D27" s="263"/>
      <c r="E27" s="263"/>
      <c r="F27" s="263"/>
      <c r="G27" s="263"/>
      <c r="H27" s="263"/>
      <c r="I27" s="263"/>
      <c r="J27" s="263"/>
      <c r="K27" s="263"/>
      <c r="L27" s="263"/>
      <c r="M27" s="263"/>
      <c r="N27" s="256"/>
      <c r="O27" s="256"/>
      <c r="P27" s="256"/>
      <c r="Q27" s="256"/>
      <c r="R27" s="256"/>
      <c r="S27" s="256"/>
      <c r="T27" s="256"/>
      <c r="U27" s="256"/>
      <c r="V27" s="256"/>
    </row>
    <row r="28" spans="1:64" x14ac:dyDescent="0.25">
      <c r="T28" s="263"/>
      <c r="U28" s="263"/>
      <c r="V28" s="263"/>
      <c r="W28" s="281"/>
    </row>
    <row r="29" spans="1:64" s="47" customFormat="1" x14ac:dyDescent="0.2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row>
    <row r="30" spans="1:64" s="47" customFormat="1" x14ac:dyDescent="0.25">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row>
    <row r="31" spans="1:64" s="47" customFormat="1" x14ac:dyDescent="0.2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row>
    <row r="32" spans="1:64" s="905" customFormat="1" x14ac:dyDescent="0.25">
      <c r="A32" s="955"/>
      <c r="B32" s="955"/>
      <c r="C32" s="955"/>
      <c r="D32" s="955"/>
      <c r="E32" s="955"/>
      <c r="F32" s="955"/>
      <c r="G32" s="955"/>
      <c r="H32" s="955"/>
      <c r="I32" s="955"/>
      <c r="J32" s="955"/>
      <c r="K32" s="955"/>
      <c r="L32" s="955"/>
      <c r="M32" s="955"/>
      <c r="N32" s="955"/>
      <c r="O32" s="955"/>
      <c r="P32" s="955"/>
      <c r="Q32" s="955"/>
      <c r="R32" s="955"/>
      <c r="S32" s="955"/>
      <c r="T32" s="955"/>
      <c r="U32" s="955"/>
      <c r="V32" s="955"/>
      <c r="W32" s="955"/>
      <c r="X32" s="955"/>
    </row>
    <row r="33" spans="1:24" s="905" customFormat="1" x14ac:dyDescent="0.25">
      <c r="A33" s="955"/>
      <c r="B33" s="955"/>
      <c r="C33" s="955"/>
      <c r="D33" s="955"/>
      <c r="E33" s="955"/>
      <c r="F33" s="955"/>
      <c r="G33" s="955"/>
      <c r="H33" s="955"/>
      <c r="I33" s="955"/>
      <c r="J33" s="955"/>
      <c r="K33" s="955"/>
      <c r="L33" s="955"/>
      <c r="M33" s="955"/>
      <c r="N33" s="955"/>
      <c r="O33" s="955"/>
      <c r="P33" s="955"/>
      <c r="Q33" s="955"/>
      <c r="R33" s="955"/>
      <c r="S33" s="955"/>
      <c r="T33" s="955"/>
      <c r="U33" s="956"/>
      <c r="V33" s="955"/>
      <c r="W33" s="955"/>
      <c r="X33" s="955"/>
    </row>
    <row r="34" spans="1:24" s="905" customFormat="1" x14ac:dyDescent="0.25">
      <c r="A34" s="955"/>
      <c r="B34" s="955"/>
      <c r="C34" s="955"/>
      <c r="D34" s="955"/>
      <c r="E34" s="955"/>
      <c r="F34" s="955"/>
      <c r="G34" s="955"/>
      <c r="H34" s="955"/>
      <c r="I34" s="955"/>
      <c r="J34" s="955"/>
      <c r="K34" s="955"/>
      <c r="L34" s="955"/>
      <c r="M34" s="955"/>
      <c r="N34" s="955"/>
      <c r="O34" s="955"/>
      <c r="P34" s="955"/>
      <c r="Q34" s="955"/>
      <c r="R34" s="955"/>
      <c r="S34" s="955"/>
      <c r="T34" s="955"/>
      <c r="U34" s="955"/>
      <c r="V34" s="955"/>
      <c r="W34" s="955"/>
      <c r="X34" s="955"/>
    </row>
    <row r="35" spans="1:24" s="905" customFormat="1" x14ac:dyDescent="0.25">
      <c r="A35" s="955"/>
      <c r="B35" s="955"/>
      <c r="C35" s="955"/>
      <c r="D35" s="955"/>
      <c r="E35" s="955"/>
      <c r="F35" s="955"/>
      <c r="G35" s="955"/>
      <c r="H35" s="955"/>
      <c r="I35" s="955"/>
      <c r="J35" s="955"/>
      <c r="K35" s="955"/>
      <c r="L35" s="955"/>
      <c r="M35" s="955"/>
      <c r="N35" s="955"/>
      <c r="O35" s="955"/>
      <c r="P35" s="955"/>
      <c r="Q35" s="955"/>
      <c r="R35" s="955"/>
      <c r="S35" s="955"/>
      <c r="T35" s="955"/>
      <c r="U35" s="956"/>
      <c r="V35" s="957"/>
      <c r="W35" s="957"/>
      <c r="X35" s="957"/>
    </row>
    <row r="36" spans="1:24" s="905" customFormat="1" x14ac:dyDescent="0.25"/>
    <row r="37" spans="1:24" s="905" customFormat="1" x14ac:dyDescent="0.25"/>
    <row r="38" spans="1:24" s="905" customFormat="1" x14ac:dyDescent="0.25"/>
    <row r="39" spans="1:24" s="905" customFormat="1" x14ac:dyDescent="0.25"/>
    <row r="40" spans="1:24" s="905" customFormat="1" x14ac:dyDescent="0.25"/>
    <row r="41" spans="1:24" s="905" customFormat="1" x14ac:dyDescent="0.25"/>
    <row r="42" spans="1:24" s="905" customFormat="1" x14ac:dyDescent="0.25"/>
    <row r="43" spans="1:24" s="905" customFormat="1" x14ac:dyDescent="0.25"/>
    <row r="44" spans="1:24" s="905" customFormat="1" x14ac:dyDescent="0.25"/>
    <row r="45" spans="1:24" s="905" customFormat="1" x14ac:dyDescent="0.25"/>
    <row r="46" spans="1:24" s="905" customFormat="1" x14ac:dyDescent="0.25"/>
    <row r="47" spans="1:24" s="905" customFormat="1" x14ac:dyDescent="0.25"/>
    <row r="48" spans="1:24" s="905" customFormat="1" x14ac:dyDescent="0.25"/>
    <row r="49" s="905" customFormat="1" x14ac:dyDescent="0.25"/>
    <row r="50" s="905" customFormat="1" x14ac:dyDescent="0.25"/>
    <row r="51" s="905" customFormat="1" x14ac:dyDescent="0.25"/>
    <row r="52" s="905" customFormat="1" x14ac:dyDescent="0.25"/>
    <row r="53" s="905" customFormat="1" x14ac:dyDescent="0.25"/>
    <row r="54" s="905" customFormat="1" x14ac:dyDescent="0.25"/>
    <row r="55" s="905" customFormat="1" x14ac:dyDescent="0.25"/>
    <row r="56" s="905" customFormat="1" x14ac:dyDescent="0.25"/>
    <row r="57" s="905" customFormat="1" x14ac:dyDescent="0.25"/>
    <row r="58" s="905" customFormat="1" x14ac:dyDescent="0.25"/>
    <row r="59" s="905" customFormat="1" x14ac:dyDescent="0.25"/>
    <row r="60" s="905" customFormat="1" x14ac:dyDescent="0.25"/>
    <row r="61" s="905" customFormat="1" x14ac:dyDescent="0.25"/>
    <row r="62" s="905" customFormat="1" x14ac:dyDescent="0.25"/>
    <row r="63" s="905" customFormat="1" x14ac:dyDescent="0.25"/>
    <row r="64" s="905" customFormat="1" x14ac:dyDescent="0.25"/>
    <row r="65" s="905" customFormat="1" x14ac:dyDescent="0.25"/>
    <row r="66" s="905" customFormat="1" x14ac:dyDescent="0.25"/>
    <row r="67" s="905" customFormat="1" x14ac:dyDescent="0.25"/>
    <row r="68" s="905" customFormat="1" x14ac:dyDescent="0.25"/>
    <row r="69" s="905" customFormat="1" x14ac:dyDescent="0.25"/>
    <row r="70" s="905" customFormat="1" x14ac:dyDescent="0.25"/>
    <row r="71" s="905" customFormat="1" x14ac:dyDescent="0.25"/>
    <row r="72" s="905" customFormat="1" x14ac:dyDescent="0.25"/>
    <row r="73" s="905" customFormat="1" x14ac:dyDescent="0.25"/>
    <row r="74" s="905" customFormat="1" x14ac:dyDescent="0.25"/>
    <row r="75" s="905" customFormat="1" x14ac:dyDescent="0.25"/>
    <row r="76" s="905" customFormat="1" x14ac:dyDescent="0.25"/>
    <row r="77" s="905" customFormat="1" x14ac:dyDescent="0.25"/>
    <row r="78" s="905" customFormat="1" x14ac:dyDescent="0.25"/>
    <row r="79" s="905" customFormat="1" x14ac:dyDescent="0.25"/>
    <row r="80" s="905" customFormat="1" x14ac:dyDescent="0.25"/>
    <row r="81" s="905" customFormat="1" x14ac:dyDescent="0.25"/>
    <row r="82" s="905" customFormat="1" x14ac:dyDescent="0.25"/>
    <row r="83" s="905" customFormat="1" x14ac:dyDescent="0.25"/>
    <row r="84" s="905" customFormat="1" x14ac:dyDescent="0.25"/>
    <row r="85" s="905" customFormat="1" x14ac:dyDescent="0.25"/>
    <row r="86" s="905" customFormat="1" x14ac:dyDescent="0.25"/>
    <row r="87" s="905" customFormat="1" x14ac:dyDescent="0.25"/>
    <row r="88" s="905" customFormat="1" x14ac:dyDescent="0.25"/>
    <row r="89" s="905" customFormat="1" x14ac:dyDescent="0.25"/>
    <row r="90" s="905" customFormat="1" x14ac:dyDescent="0.25"/>
    <row r="91" s="905" customFormat="1" x14ac:dyDescent="0.25"/>
    <row r="92" s="905" customFormat="1" x14ac:dyDescent="0.25"/>
    <row r="93" s="905" customFormat="1" x14ac:dyDescent="0.25"/>
    <row r="94" s="905" customFormat="1" x14ac:dyDescent="0.25"/>
    <row r="95" s="905" customFormat="1" x14ac:dyDescent="0.25"/>
    <row r="96" s="905" customFormat="1" x14ac:dyDescent="0.25"/>
    <row r="97" s="905" customFormat="1" x14ac:dyDescent="0.25"/>
    <row r="98" s="905" customFormat="1" x14ac:dyDescent="0.25"/>
    <row r="99" s="905" customFormat="1" x14ac:dyDescent="0.25"/>
    <row r="100" s="905" customFormat="1" x14ac:dyDescent="0.25"/>
    <row r="101" s="905" customFormat="1" x14ac:dyDescent="0.25"/>
    <row r="102" s="905" customFormat="1" x14ac:dyDescent="0.25"/>
    <row r="103" s="905" customFormat="1" x14ac:dyDescent="0.25"/>
    <row r="104" s="905" customFormat="1" x14ac:dyDescent="0.25"/>
    <row r="105" s="905" customFormat="1" x14ac:dyDescent="0.25"/>
    <row r="106" s="905" customFormat="1" x14ac:dyDescent="0.25"/>
    <row r="107" s="905" customFormat="1" x14ac:dyDescent="0.25"/>
    <row r="108" s="905" customFormat="1" x14ac:dyDescent="0.25"/>
    <row r="109" s="905" customFormat="1" x14ac:dyDescent="0.25"/>
    <row r="110" s="905" customFormat="1" x14ac:dyDescent="0.25"/>
    <row r="111" s="905" customFormat="1" x14ac:dyDescent="0.25"/>
    <row r="112" s="905" customFormat="1" x14ac:dyDescent="0.25"/>
    <row r="113" s="905" customFormat="1" x14ac:dyDescent="0.25"/>
    <row r="114" s="905" customFormat="1" x14ac:dyDescent="0.25"/>
    <row r="115" s="905" customFormat="1" x14ac:dyDescent="0.25"/>
    <row r="116" s="905" customFormat="1" x14ac:dyDescent="0.25"/>
    <row r="117" s="905" customFormat="1" x14ac:dyDescent="0.25"/>
    <row r="118" s="905" customFormat="1" x14ac:dyDescent="0.25"/>
    <row r="119" s="905" customFormat="1" x14ac:dyDescent="0.25"/>
    <row r="120" s="905" customFormat="1" x14ac:dyDescent="0.25"/>
    <row r="121" s="905" customFormat="1" x14ac:dyDescent="0.25"/>
    <row r="122" s="905" customFormat="1" x14ac:dyDescent="0.25"/>
    <row r="123" s="905" customFormat="1" x14ac:dyDescent="0.25"/>
    <row r="124" s="905" customFormat="1" x14ac:dyDescent="0.25"/>
    <row r="125" s="905" customFormat="1" x14ac:dyDescent="0.25"/>
    <row r="126" s="905" customFormat="1" x14ac:dyDescent="0.25"/>
    <row r="127" s="905" customFormat="1" x14ac:dyDescent="0.25"/>
    <row r="128" s="905" customFormat="1" x14ac:dyDescent="0.25"/>
    <row r="129" s="905" customFormat="1" x14ac:dyDescent="0.25"/>
    <row r="130" s="905" customFormat="1" x14ac:dyDescent="0.25"/>
    <row r="131" s="905" customFormat="1" x14ac:dyDescent="0.25"/>
    <row r="132" s="905" customFormat="1" x14ac:dyDescent="0.25"/>
    <row r="133" s="905" customFormat="1" x14ac:dyDescent="0.25"/>
    <row r="134" s="905" customFormat="1" x14ac:dyDescent="0.25"/>
    <row r="135" s="905" customFormat="1" x14ac:dyDescent="0.25"/>
    <row r="136" s="905" customFormat="1" x14ac:dyDescent="0.25"/>
    <row r="137" s="905" customFormat="1" x14ac:dyDescent="0.25"/>
    <row r="138" s="905" customFormat="1" x14ac:dyDescent="0.25"/>
    <row r="139" s="905" customFormat="1" x14ac:dyDescent="0.25"/>
    <row r="140" s="905" customFormat="1" x14ac:dyDescent="0.25"/>
    <row r="141" s="905" customFormat="1" x14ac:dyDescent="0.25"/>
    <row r="142" s="905" customFormat="1" x14ac:dyDescent="0.25"/>
    <row r="143" s="905" customFormat="1" x14ac:dyDescent="0.25"/>
    <row r="144" s="905" customFormat="1" x14ac:dyDescent="0.25"/>
    <row r="145" s="905" customFormat="1" x14ac:dyDescent="0.25"/>
    <row r="146" s="905" customFormat="1" x14ac:dyDescent="0.25"/>
    <row r="147" s="905" customFormat="1" x14ac:dyDescent="0.25"/>
    <row r="148" s="905" customFormat="1" x14ac:dyDescent="0.25"/>
    <row r="149" s="905" customFormat="1" x14ac:dyDescent="0.25"/>
    <row r="150" s="905" customFormat="1" x14ac:dyDescent="0.25"/>
    <row r="151" s="905" customFormat="1" x14ac:dyDescent="0.25"/>
    <row r="152" s="905" customFormat="1" x14ac:dyDescent="0.25"/>
    <row r="153" s="905" customFormat="1" x14ac:dyDescent="0.25"/>
    <row r="154" s="905" customFormat="1" x14ac:dyDescent="0.25"/>
    <row r="155" s="905" customFormat="1" x14ac:dyDescent="0.25"/>
    <row r="156" s="905" customFormat="1" x14ac:dyDescent="0.25"/>
    <row r="157" s="905" customFormat="1" x14ac:dyDescent="0.25"/>
    <row r="158" s="905" customFormat="1" x14ac:dyDescent="0.25"/>
    <row r="159" s="905" customFormat="1" x14ac:dyDescent="0.25"/>
    <row r="160" s="905" customFormat="1" x14ac:dyDescent="0.25"/>
    <row r="161" s="905" customFormat="1" x14ac:dyDescent="0.25"/>
    <row r="162" s="905" customFormat="1" x14ac:dyDescent="0.25"/>
    <row r="163" s="905" customFormat="1" x14ac:dyDescent="0.25"/>
    <row r="164" s="905" customFormat="1" x14ac:dyDescent="0.25"/>
    <row r="165" s="905" customFormat="1" x14ac:dyDescent="0.25"/>
    <row r="166" s="905" customFormat="1" x14ac:dyDescent="0.25"/>
    <row r="167" s="905" customFormat="1" x14ac:dyDescent="0.25"/>
    <row r="168" s="905" customFormat="1" x14ac:dyDescent="0.25"/>
    <row r="169" s="905" customFormat="1" x14ac:dyDescent="0.25"/>
    <row r="170" s="905" customFormat="1" x14ac:dyDescent="0.25"/>
    <row r="171" s="905" customFormat="1" x14ac:dyDescent="0.25"/>
    <row r="172" s="905" customFormat="1" x14ac:dyDescent="0.25"/>
    <row r="173" s="905" customFormat="1" x14ac:dyDescent="0.25"/>
    <row r="174" s="905" customFormat="1" x14ac:dyDescent="0.25"/>
    <row r="175" s="905" customFormat="1" x14ac:dyDescent="0.25"/>
    <row r="176" s="905" customFormat="1" x14ac:dyDescent="0.25"/>
    <row r="177" s="905" customFormat="1" x14ac:dyDescent="0.25"/>
    <row r="178" s="905" customFormat="1" x14ac:dyDescent="0.25"/>
    <row r="179" s="905" customFormat="1" x14ac:dyDescent="0.25"/>
    <row r="180" s="905" customFormat="1" x14ac:dyDescent="0.25"/>
    <row r="181" s="905" customFormat="1" x14ac:dyDescent="0.25"/>
    <row r="182" s="905" customFormat="1" x14ac:dyDescent="0.25"/>
    <row r="183" s="905" customFormat="1" x14ac:dyDescent="0.25"/>
    <row r="184" s="905" customFormat="1" x14ac:dyDescent="0.25"/>
    <row r="185" s="905" customFormat="1" x14ac:dyDescent="0.25"/>
    <row r="186" s="905" customFormat="1" x14ac:dyDescent="0.25"/>
    <row r="187" s="905" customFormat="1" x14ac:dyDescent="0.25"/>
    <row r="188" s="905" customFormat="1" x14ac:dyDescent="0.25"/>
    <row r="189" s="905" customFormat="1" x14ac:dyDescent="0.25"/>
    <row r="190" s="905" customFormat="1" x14ac:dyDescent="0.25"/>
    <row r="191" s="905" customFormat="1" x14ac:dyDescent="0.25"/>
    <row r="192" s="905" customFormat="1" x14ac:dyDescent="0.25"/>
    <row r="193" s="905" customFormat="1" x14ac:dyDescent="0.25"/>
    <row r="194" s="905" customFormat="1" x14ac:dyDescent="0.25"/>
    <row r="195" s="905" customFormat="1" x14ac:dyDescent="0.25"/>
    <row r="196" s="905" customFormat="1" x14ac:dyDescent="0.25"/>
    <row r="197" s="905" customFormat="1" x14ac:dyDescent="0.25"/>
    <row r="198" s="905" customFormat="1" x14ac:dyDescent="0.25"/>
    <row r="199" s="905" customFormat="1" x14ac:dyDescent="0.25"/>
    <row r="200" s="905" customFormat="1" x14ac:dyDescent="0.25"/>
    <row r="201" s="905" customFormat="1" x14ac:dyDescent="0.25"/>
    <row r="202" s="905" customFormat="1" x14ac:dyDescent="0.25"/>
    <row r="203" s="905" customFormat="1" x14ac:dyDescent="0.25"/>
    <row r="204" s="905" customFormat="1" x14ac:dyDescent="0.25"/>
    <row r="205" s="905" customFormat="1" x14ac:dyDescent="0.25"/>
    <row r="206" s="905" customFormat="1" x14ac:dyDescent="0.25"/>
    <row r="207" s="905" customFormat="1" x14ac:dyDescent="0.25"/>
    <row r="208" s="905" customFormat="1" x14ac:dyDescent="0.25"/>
    <row r="209" s="905" customFormat="1" x14ac:dyDescent="0.25"/>
    <row r="210" s="905" customFormat="1" x14ac:dyDescent="0.25"/>
    <row r="211" s="905" customFormat="1" x14ac:dyDescent="0.25"/>
    <row r="212" s="905" customFormat="1" x14ac:dyDescent="0.25"/>
    <row r="213" s="905" customFormat="1" x14ac:dyDescent="0.25"/>
    <row r="214" s="905" customFormat="1" x14ac:dyDescent="0.25"/>
    <row r="215" s="905" customFormat="1" x14ac:dyDescent="0.25"/>
    <row r="216" s="905" customFormat="1" x14ac:dyDescent="0.25"/>
    <row r="217" s="905" customFormat="1" x14ac:dyDescent="0.25"/>
    <row r="218" s="905" customFormat="1" x14ac:dyDescent="0.25"/>
    <row r="219" s="905" customFormat="1" x14ac:dyDescent="0.25"/>
    <row r="220" s="905" customFormat="1" x14ac:dyDescent="0.25"/>
    <row r="221" s="905" customFormat="1" x14ac:dyDescent="0.25"/>
    <row r="222" s="905" customFormat="1" x14ac:dyDescent="0.25"/>
    <row r="223" s="905" customFormat="1" x14ac:dyDescent="0.25"/>
    <row r="224" s="905" customFormat="1" x14ac:dyDescent="0.25"/>
    <row r="225" s="905" customFormat="1" x14ac:dyDescent="0.25"/>
    <row r="226" s="905" customFormat="1" x14ac:dyDescent="0.25"/>
    <row r="227" s="905" customFormat="1" x14ac:dyDescent="0.25"/>
    <row r="228" s="905" customFormat="1" x14ac:dyDescent="0.25"/>
    <row r="229" s="905" customFormat="1" x14ac:dyDescent="0.25"/>
    <row r="230" s="905" customFormat="1" x14ac:dyDescent="0.25"/>
    <row r="231" s="905" customFormat="1" x14ac:dyDescent="0.25"/>
    <row r="232" s="905" customFormat="1" x14ac:dyDescent="0.25"/>
    <row r="233" s="905" customFormat="1" x14ac:dyDescent="0.25"/>
    <row r="234" s="905" customFormat="1" x14ac:dyDescent="0.25"/>
    <row r="235" s="905" customFormat="1" x14ac:dyDescent="0.25"/>
    <row r="236" s="905" customFormat="1" x14ac:dyDescent="0.25"/>
    <row r="237" s="905" customFormat="1" x14ac:dyDescent="0.25"/>
    <row r="238" s="905" customFormat="1" x14ac:dyDescent="0.25"/>
    <row r="239" s="905" customFormat="1" x14ac:dyDescent="0.25"/>
    <row r="240" s="905" customFormat="1" x14ac:dyDescent="0.25"/>
    <row r="241" s="905" customFormat="1" x14ac:dyDescent="0.25"/>
    <row r="242" s="905" customFormat="1" x14ac:dyDescent="0.25"/>
    <row r="243" s="905" customFormat="1" x14ac:dyDescent="0.25"/>
    <row r="244" s="905" customFormat="1" x14ac:dyDescent="0.25"/>
    <row r="245" s="905" customFormat="1" x14ac:dyDescent="0.25"/>
    <row r="246" s="905" customFormat="1" x14ac:dyDescent="0.25"/>
    <row r="247" s="905" customFormat="1" x14ac:dyDescent="0.25"/>
    <row r="248" s="905" customFormat="1" x14ac:dyDescent="0.25"/>
    <row r="249" s="905" customFormat="1" x14ac:dyDescent="0.25"/>
    <row r="250" s="905" customFormat="1" x14ac:dyDescent="0.25"/>
    <row r="251" s="905" customFormat="1" x14ac:dyDescent="0.25"/>
    <row r="252" s="905" customFormat="1" x14ac:dyDescent="0.25"/>
    <row r="253" s="905" customFormat="1" x14ac:dyDescent="0.25"/>
    <row r="254" s="905" customFormat="1" x14ac:dyDescent="0.25"/>
    <row r="255" s="905" customFormat="1" x14ac:dyDescent="0.25"/>
    <row r="256" s="905" customFormat="1" x14ac:dyDescent="0.25"/>
    <row r="257" s="905" customFormat="1" x14ac:dyDescent="0.25"/>
    <row r="258" s="905" customFormat="1" x14ac:dyDescent="0.25"/>
    <row r="259" s="905" customFormat="1" x14ac:dyDescent="0.25"/>
    <row r="260" s="905" customFormat="1" x14ac:dyDescent="0.25"/>
    <row r="261" s="905" customFormat="1" x14ac:dyDescent="0.25"/>
    <row r="262" s="905" customFormat="1" x14ac:dyDescent="0.25"/>
    <row r="263" s="905" customFormat="1" x14ac:dyDescent="0.25"/>
    <row r="264" s="905" customFormat="1" x14ac:dyDescent="0.25"/>
    <row r="265" s="905" customFormat="1" x14ac:dyDescent="0.25"/>
    <row r="266" s="905" customFormat="1" x14ac:dyDescent="0.25"/>
    <row r="267" s="905" customFormat="1" x14ac:dyDescent="0.25"/>
    <row r="268" s="905" customFormat="1" x14ac:dyDescent="0.25"/>
    <row r="269" s="905" customFormat="1" x14ac:dyDescent="0.25"/>
    <row r="270" s="905" customFormat="1" x14ac:dyDescent="0.25"/>
    <row r="271" s="905" customFormat="1" x14ac:dyDescent="0.25"/>
    <row r="272" s="905" customFormat="1" x14ac:dyDescent="0.25"/>
    <row r="273" s="905" customFormat="1" x14ac:dyDescent="0.25"/>
    <row r="274" s="905" customFormat="1" x14ac:dyDescent="0.25"/>
    <row r="275" s="905" customFormat="1" x14ac:dyDescent="0.25"/>
    <row r="276" s="905" customFormat="1" x14ac:dyDescent="0.25"/>
    <row r="277" s="905" customFormat="1" x14ac:dyDescent="0.25"/>
    <row r="278" s="905" customFormat="1" x14ac:dyDescent="0.25"/>
    <row r="279" s="905" customFormat="1" x14ac:dyDescent="0.25"/>
    <row r="280" s="905" customFormat="1" x14ac:dyDescent="0.25"/>
    <row r="281" s="905" customFormat="1" x14ac:dyDescent="0.25"/>
    <row r="282" s="905" customFormat="1" x14ac:dyDescent="0.25"/>
    <row r="283" s="905" customFormat="1" x14ac:dyDescent="0.25"/>
    <row r="284" s="905" customFormat="1" x14ac:dyDescent="0.25"/>
    <row r="285" s="905" customFormat="1" x14ac:dyDescent="0.25"/>
    <row r="286" s="905" customFormat="1" x14ac:dyDescent="0.25"/>
    <row r="287" s="905" customFormat="1" x14ac:dyDescent="0.25"/>
    <row r="288" s="905" customFormat="1" x14ac:dyDescent="0.25"/>
    <row r="289" s="905" customFormat="1" x14ac:dyDescent="0.25"/>
    <row r="290" s="905" customFormat="1" x14ac:dyDescent="0.25"/>
    <row r="291" s="905" customFormat="1" x14ac:dyDescent="0.25"/>
    <row r="292" s="905" customFormat="1" x14ac:dyDescent="0.25"/>
    <row r="293" s="905" customFormat="1" x14ac:dyDescent="0.25"/>
    <row r="294" s="905" customFormat="1" x14ac:dyDescent="0.25"/>
    <row r="295" s="905" customFormat="1" x14ac:dyDescent="0.25"/>
    <row r="296" s="905" customFormat="1" x14ac:dyDescent="0.25"/>
    <row r="297" s="905" customFormat="1" x14ac:dyDescent="0.25"/>
    <row r="298" s="905" customFormat="1" x14ac:dyDescent="0.25"/>
    <row r="299" s="905" customFormat="1" x14ac:dyDescent="0.25"/>
    <row r="300" s="905" customFormat="1" x14ac:dyDescent="0.25"/>
    <row r="301" s="905" customFormat="1" x14ac:dyDescent="0.25"/>
    <row r="302" s="905" customFormat="1" x14ac:dyDescent="0.25"/>
    <row r="303" s="905" customFormat="1" x14ac:dyDescent="0.25"/>
  </sheetData>
  <sheetProtection password="A53B" sheet="1" objects="1" scenarios="1"/>
  <mergeCells count="7">
    <mergeCell ref="F7:N7"/>
    <mergeCell ref="O7:W7"/>
    <mergeCell ref="I9:N9"/>
    <mergeCell ref="F9:H9"/>
    <mergeCell ref="O9:Q9"/>
    <mergeCell ref="R9:U9"/>
    <mergeCell ref="V9:W9"/>
  </mergeCells>
  <pageMargins left="0.70866141732283472" right="0.70866141732283472" top="0.74803149606299213" bottom="0.74803149606299213" header="0.31496062992125984" footer="0.31496062992125984"/>
  <pageSetup paperSize="9" scale="80"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FFFF00"/>
  </sheetPr>
  <dimension ref="A1:O85"/>
  <sheetViews>
    <sheetView topLeftCell="A10" zoomScaleNormal="100" workbookViewId="0">
      <selection activeCell="D26" sqref="D26"/>
    </sheetView>
  </sheetViews>
  <sheetFormatPr baseColWidth="10" defaultRowHeight="15" x14ac:dyDescent="0.25"/>
  <cols>
    <col min="1" max="1" width="25.140625" customWidth="1"/>
    <col min="2" max="2" width="19.140625" bestFit="1" customWidth="1"/>
    <col min="3" max="3" width="22.5703125" customWidth="1"/>
  </cols>
  <sheetData>
    <row r="1" spans="1:15" x14ac:dyDescent="0.25">
      <c r="A1" s="278" t="s">
        <v>793</v>
      </c>
      <c r="B1" s="278" t="s">
        <v>800</v>
      </c>
      <c r="C1" s="278" t="s">
        <v>449</v>
      </c>
      <c r="D1" s="294" t="s">
        <v>860</v>
      </c>
      <c r="E1" s="294" t="s">
        <v>847</v>
      </c>
      <c r="F1" s="294" t="s">
        <v>862</v>
      </c>
      <c r="G1" s="295" t="s">
        <v>1111</v>
      </c>
      <c r="I1" s="291"/>
      <c r="J1" s="278" t="s">
        <v>864</v>
      </c>
      <c r="K1" s="291"/>
      <c r="L1" s="291"/>
      <c r="M1" s="291" t="s">
        <v>718</v>
      </c>
      <c r="N1" s="291"/>
      <c r="O1" s="291"/>
    </row>
    <row r="2" spans="1:15" x14ac:dyDescent="0.25">
      <c r="A2" s="291"/>
      <c r="B2" s="291"/>
      <c r="C2" s="291" t="s">
        <v>804</v>
      </c>
      <c r="D2" s="294"/>
      <c r="E2" s="294"/>
      <c r="F2" s="396">
        <v>0.125</v>
      </c>
      <c r="G2" s="291"/>
      <c r="I2" s="291"/>
      <c r="J2" s="291" t="s">
        <v>869</v>
      </c>
      <c r="K2" s="291"/>
      <c r="L2" s="291"/>
      <c r="M2" s="291" t="s">
        <v>719</v>
      </c>
      <c r="N2" s="291"/>
      <c r="O2" s="291"/>
    </row>
    <row r="3" spans="1:15" x14ac:dyDescent="0.25">
      <c r="A3" s="291" t="s">
        <v>794</v>
      </c>
      <c r="B3" s="291" t="s">
        <v>801</v>
      </c>
      <c r="C3" s="291" t="s">
        <v>805</v>
      </c>
      <c r="D3" s="294"/>
      <c r="E3" s="294"/>
      <c r="F3" s="396">
        <v>0.125</v>
      </c>
      <c r="G3" s="291"/>
      <c r="I3" s="291"/>
      <c r="J3" s="291" t="s">
        <v>866</v>
      </c>
      <c r="K3" s="291"/>
      <c r="L3" s="291"/>
      <c r="M3" s="291"/>
      <c r="N3" s="291"/>
      <c r="O3" s="291"/>
    </row>
    <row r="4" spans="1:15" x14ac:dyDescent="0.25">
      <c r="A4" s="291" t="s">
        <v>795</v>
      </c>
      <c r="B4" s="291" t="s">
        <v>802</v>
      </c>
      <c r="C4" s="291" t="s">
        <v>519</v>
      </c>
      <c r="D4" s="294"/>
      <c r="E4" s="294"/>
      <c r="F4" s="287">
        <v>0.65</v>
      </c>
      <c r="G4" s="291"/>
      <c r="I4" s="291"/>
      <c r="J4" s="291" t="s">
        <v>865</v>
      </c>
      <c r="K4" s="291"/>
      <c r="L4" s="291"/>
      <c r="M4" s="291"/>
      <c r="N4" s="291"/>
      <c r="O4" s="291"/>
    </row>
    <row r="5" spans="1:15" x14ac:dyDescent="0.25">
      <c r="A5" s="291" t="s">
        <v>796</v>
      </c>
      <c r="B5" s="291" t="s">
        <v>803</v>
      </c>
      <c r="C5" s="291" t="s">
        <v>520</v>
      </c>
      <c r="D5" s="294"/>
      <c r="E5" s="294"/>
      <c r="F5" s="287">
        <v>0.65</v>
      </c>
      <c r="G5" s="291"/>
      <c r="I5" s="291"/>
      <c r="J5" s="291" t="s">
        <v>870</v>
      </c>
      <c r="K5" s="291"/>
      <c r="L5" s="291"/>
      <c r="M5" s="291"/>
      <c r="N5" s="291"/>
      <c r="O5" s="291"/>
    </row>
    <row r="6" spans="1:15" x14ac:dyDescent="0.25">
      <c r="A6" s="291" t="s">
        <v>797</v>
      </c>
      <c r="B6" s="291"/>
      <c r="C6" s="291" t="s">
        <v>806</v>
      </c>
      <c r="D6" s="294"/>
      <c r="E6" s="294"/>
      <c r="F6" s="287">
        <v>0.65</v>
      </c>
      <c r="G6" s="291"/>
      <c r="I6" s="291"/>
      <c r="J6" s="291" t="s">
        <v>893</v>
      </c>
      <c r="K6" s="291"/>
      <c r="L6" s="291"/>
      <c r="M6" s="291"/>
      <c r="N6" s="291"/>
      <c r="O6" s="291"/>
    </row>
    <row r="7" spans="1:15" x14ac:dyDescent="0.25">
      <c r="A7" s="291" t="s">
        <v>798</v>
      </c>
      <c r="B7" s="291"/>
      <c r="C7" s="291" t="s">
        <v>807</v>
      </c>
      <c r="D7" s="294"/>
      <c r="E7" s="294"/>
      <c r="F7" s="287">
        <v>0.65</v>
      </c>
      <c r="G7" s="291"/>
      <c r="I7" s="291"/>
      <c r="J7" s="291" t="s">
        <v>871</v>
      </c>
      <c r="K7" s="291"/>
      <c r="L7" s="291"/>
      <c r="M7" s="291"/>
      <c r="N7" s="291"/>
      <c r="O7" s="291"/>
    </row>
    <row r="8" spans="1:15" x14ac:dyDescent="0.25">
      <c r="A8" s="291"/>
      <c r="B8" s="291"/>
      <c r="C8" s="291" t="s">
        <v>808</v>
      </c>
      <c r="D8" s="294"/>
      <c r="E8" s="294"/>
      <c r="F8" s="287">
        <v>0.65</v>
      </c>
      <c r="G8" s="291"/>
      <c r="I8" s="291"/>
      <c r="J8" s="291" t="s">
        <v>872</v>
      </c>
      <c r="K8" s="291"/>
      <c r="L8" s="291"/>
      <c r="M8" s="291"/>
      <c r="N8" s="291"/>
      <c r="O8" s="291"/>
    </row>
    <row r="9" spans="1:15" x14ac:dyDescent="0.25">
      <c r="A9" s="291"/>
      <c r="B9" s="291"/>
      <c r="C9" s="291" t="s">
        <v>811</v>
      </c>
      <c r="D9" s="294"/>
      <c r="E9" s="294"/>
      <c r="F9" s="287">
        <v>0.65</v>
      </c>
      <c r="G9" s="291"/>
      <c r="I9" s="291"/>
      <c r="J9" s="291" t="s">
        <v>873</v>
      </c>
      <c r="K9" s="291"/>
      <c r="L9" s="291"/>
      <c r="M9" s="291"/>
      <c r="N9" s="291"/>
      <c r="O9" s="291"/>
    </row>
    <row r="10" spans="1:15" x14ac:dyDescent="0.25">
      <c r="A10" s="291"/>
      <c r="B10" s="291"/>
      <c r="C10" s="291" t="s">
        <v>809</v>
      </c>
      <c r="D10" s="294">
        <v>14</v>
      </c>
      <c r="E10" s="294">
        <v>206</v>
      </c>
      <c r="F10" s="287">
        <v>0.25</v>
      </c>
      <c r="G10" s="713">
        <v>0.72</v>
      </c>
      <c r="I10" s="291"/>
      <c r="J10" s="291" t="s">
        <v>867</v>
      </c>
      <c r="K10" s="291"/>
      <c r="L10" s="291"/>
      <c r="M10" s="291"/>
      <c r="N10" s="291"/>
      <c r="O10" s="291"/>
    </row>
    <row r="11" spans="1:15" x14ac:dyDescent="0.25">
      <c r="A11" s="291"/>
      <c r="B11" s="291"/>
      <c r="C11" s="291" t="s">
        <v>810</v>
      </c>
      <c r="D11" s="294">
        <v>20</v>
      </c>
      <c r="E11" s="294">
        <v>294</v>
      </c>
      <c r="F11" s="287">
        <v>0.4</v>
      </c>
      <c r="G11" s="713">
        <v>0.8</v>
      </c>
      <c r="I11" s="291"/>
      <c r="J11" s="291" t="s">
        <v>868</v>
      </c>
      <c r="K11" s="291"/>
      <c r="L11" s="291"/>
      <c r="M11" s="291"/>
      <c r="N11" s="291"/>
      <c r="O11" s="291"/>
    </row>
    <row r="12" spans="1:15" x14ac:dyDescent="0.25">
      <c r="A12" s="291"/>
      <c r="B12" s="291"/>
      <c r="C12" s="291" t="s">
        <v>812</v>
      </c>
      <c r="D12" s="294">
        <v>40</v>
      </c>
      <c r="E12" s="294">
        <v>589</v>
      </c>
      <c r="F12" s="287">
        <v>0.8</v>
      </c>
      <c r="G12" s="713">
        <v>0.85</v>
      </c>
      <c r="I12" s="291"/>
      <c r="J12" s="291" t="s">
        <v>892</v>
      </c>
      <c r="K12" s="291"/>
      <c r="L12" s="291"/>
      <c r="M12" s="291"/>
      <c r="N12" s="291"/>
      <c r="O12" s="291"/>
    </row>
    <row r="13" spans="1:15" x14ac:dyDescent="0.25">
      <c r="A13" s="291"/>
      <c r="B13" s="291"/>
      <c r="C13" s="291"/>
      <c r="D13" s="291"/>
      <c r="E13" s="291"/>
      <c r="F13" s="291"/>
      <c r="G13" s="291"/>
      <c r="H13" s="291"/>
      <c r="I13" s="291"/>
      <c r="J13" s="291"/>
      <c r="K13" s="291"/>
      <c r="L13" s="291"/>
      <c r="M13" s="291"/>
      <c r="N13" s="291"/>
      <c r="O13" s="291"/>
    </row>
    <row r="14" spans="1:15" x14ac:dyDescent="0.25">
      <c r="A14" s="291"/>
      <c r="B14" s="291"/>
      <c r="C14" s="291"/>
      <c r="D14" s="291"/>
      <c r="E14" s="291"/>
      <c r="F14" s="291"/>
      <c r="G14" s="291"/>
      <c r="H14" s="291"/>
      <c r="I14" s="291"/>
      <c r="J14" s="291"/>
      <c r="K14" s="291"/>
      <c r="L14" s="291"/>
      <c r="M14" s="291"/>
      <c r="N14" s="291"/>
      <c r="O14" s="291"/>
    </row>
    <row r="15" spans="1:15" x14ac:dyDescent="0.25">
      <c r="A15" s="278" t="s">
        <v>827</v>
      </c>
      <c r="B15" s="291"/>
      <c r="C15" s="291"/>
      <c r="D15" s="291"/>
      <c r="E15" s="291"/>
      <c r="F15" s="291"/>
      <c r="G15" s="291"/>
      <c r="H15" s="291"/>
      <c r="I15" s="291"/>
      <c r="J15" s="291"/>
      <c r="K15" s="291"/>
      <c r="L15" s="291"/>
      <c r="M15" s="291"/>
      <c r="N15" s="291"/>
      <c r="O15" s="291"/>
    </row>
    <row r="16" spans="1:15" x14ac:dyDescent="0.25">
      <c r="A16" s="294"/>
      <c r="B16" s="294" t="s">
        <v>828</v>
      </c>
      <c r="C16" s="294" t="s">
        <v>829</v>
      </c>
      <c r="D16" s="294" t="s">
        <v>830</v>
      </c>
      <c r="E16" s="294" t="s">
        <v>831</v>
      </c>
      <c r="F16" s="294" t="s">
        <v>832</v>
      </c>
      <c r="G16" s="294" t="s">
        <v>833</v>
      </c>
      <c r="H16" s="291"/>
      <c r="I16" s="291"/>
      <c r="J16" s="291"/>
      <c r="K16" s="291"/>
      <c r="L16" s="291"/>
      <c r="M16" s="291"/>
      <c r="N16" s="291"/>
      <c r="O16" s="291"/>
    </row>
    <row r="17" spans="1:15" x14ac:dyDescent="0.25">
      <c r="A17" s="294" t="s">
        <v>834</v>
      </c>
      <c r="B17" s="289">
        <v>91</v>
      </c>
      <c r="C17" s="289">
        <v>3.8</v>
      </c>
      <c r="D17" s="289">
        <v>0.46500000000000002</v>
      </c>
      <c r="E17" s="289">
        <v>6.08</v>
      </c>
      <c r="F17" s="289">
        <v>0.7</v>
      </c>
      <c r="G17" s="289">
        <v>9.4</v>
      </c>
      <c r="H17" s="291" t="s">
        <v>835</v>
      </c>
      <c r="I17" s="291"/>
      <c r="J17" s="291"/>
      <c r="K17" s="291"/>
      <c r="L17" s="291"/>
      <c r="M17" s="291"/>
      <c r="N17" s="291"/>
      <c r="O17" s="291"/>
    </row>
    <row r="18" spans="1:15" x14ac:dyDescent="0.25">
      <c r="A18" s="294" t="s">
        <v>826</v>
      </c>
      <c r="B18" s="289">
        <v>86.7</v>
      </c>
      <c r="C18" s="289"/>
      <c r="D18" s="289">
        <v>0.4335</v>
      </c>
      <c r="E18" s="289">
        <v>0.5</v>
      </c>
      <c r="F18" s="289">
        <v>0</v>
      </c>
      <c r="G18" s="289">
        <v>0</v>
      </c>
      <c r="H18" s="291" t="s">
        <v>836</v>
      </c>
      <c r="I18" s="291"/>
      <c r="J18" s="291"/>
      <c r="K18" s="291"/>
      <c r="L18" s="291"/>
      <c r="M18" s="291"/>
      <c r="N18" s="291"/>
      <c r="O18" s="291"/>
    </row>
    <row r="19" spans="1:15" x14ac:dyDescent="0.25">
      <c r="A19" s="10" t="s">
        <v>1112</v>
      </c>
      <c r="B19" s="289">
        <v>88.85</v>
      </c>
      <c r="C19" s="289">
        <v>3.8</v>
      </c>
      <c r="D19" s="289">
        <v>0.44925000000000004</v>
      </c>
      <c r="E19" s="289">
        <v>3.29</v>
      </c>
      <c r="F19" s="289">
        <v>0.35</v>
      </c>
      <c r="G19" s="289">
        <v>4.7</v>
      </c>
      <c r="H19" s="291"/>
      <c r="I19" s="291"/>
      <c r="J19" s="291"/>
      <c r="K19" s="291"/>
      <c r="L19" s="291"/>
      <c r="M19" s="291"/>
      <c r="N19" s="291"/>
      <c r="O19" s="291"/>
    </row>
    <row r="20" spans="1:15" x14ac:dyDescent="0.25">
      <c r="A20" s="291"/>
      <c r="B20" s="291"/>
      <c r="C20" s="291"/>
      <c r="D20" s="291"/>
      <c r="E20" s="291"/>
      <c r="F20" s="291"/>
      <c r="G20" s="291"/>
      <c r="H20" s="291"/>
      <c r="I20" s="291"/>
      <c r="J20" s="291"/>
      <c r="K20" s="291"/>
      <c r="L20" s="291"/>
      <c r="M20" s="291"/>
      <c r="N20" s="291"/>
      <c r="O20" s="291"/>
    </row>
    <row r="21" spans="1:15" x14ac:dyDescent="0.25">
      <c r="A21" s="278" t="s">
        <v>1113</v>
      </c>
      <c r="B21" s="291"/>
      <c r="C21" s="291"/>
      <c r="D21" s="291"/>
      <c r="E21" s="291"/>
      <c r="F21" s="291"/>
      <c r="G21" s="291"/>
      <c r="H21" s="291"/>
      <c r="I21" s="291"/>
      <c r="J21" s="291"/>
      <c r="K21" s="291"/>
      <c r="L21" s="291"/>
      <c r="M21" s="291"/>
      <c r="N21" s="291"/>
      <c r="O21" s="291"/>
    </row>
    <row r="22" spans="1:15" x14ac:dyDescent="0.25">
      <c r="A22" s="294" t="s">
        <v>794</v>
      </c>
      <c r="B22" s="291" t="s">
        <v>83</v>
      </c>
      <c r="C22" s="291"/>
      <c r="D22" s="291"/>
      <c r="E22" s="291"/>
      <c r="F22" s="291"/>
      <c r="G22" s="291"/>
      <c r="H22" s="291"/>
      <c r="I22" s="291"/>
      <c r="J22" s="291"/>
      <c r="K22" s="291"/>
      <c r="L22" s="291"/>
      <c r="M22" s="291"/>
      <c r="N22" s="291"/>
      <c r="O22" s="291"/>
    </row>
    <row r="23" spans="1:15" x14ac:dyDescent="0.25">
      <c r="A23" s="294" t="s">
        <v>795</v>
      </c>
      <c r="B23" s="291" t="s">
        <v>83</v>
      </c>
      <c r="C23" s="291"/>
      <c r="D23" s="291"/>
      <c r="E23" s="291"/>
      <c r="F23" s="291"/>
      <c r="G23" s="291"/>
      <c r="H23" s="291"/>
      <c r="I23" s="291"/>
      <c r="J23" s="291"/>
      <c r="K23" s="291"/>
      <c r="L23" s="291"/>
      <c r="M23" s="291"/>
      <c r="N23" s="291"/>
      <c r="O23" s="291"/>
    </row>
    <row r="24" spans="1:15" x14ac:dyDescent="0.25">
      <c r="A24" s="294" t="s">
        <v>796</v>
      </c>
      <c r="B24" s="294" t="s">
        <v>845</v>
      </c>
      <c r="C24" s="291"/>
      <c r="D24" s="291"/>
      <c r="E24" s="291"/>
      <c r="F24" s="291"/>
      <c r="G24" s="291"/>
      <c r="H24" s="291"/>
      <c r="I24" s="291"/>
      <c r="J24" s="291"/>
      <c r="K24" s="291"/>
      <c r="L24" s="291"/>
      <c r="M24" s="291"/>
      <c r="N24" s="291"/>
      <c r="O24" s="291"/>
    </row>
    <row r="25" spans="1:15" x14ac:dyDescent="0.25">
      <c r="A25" s="294" t="s">
        <v>797</v>
      </c>
      <c r="B25" s="291" t="s">
        <v>83</v>
      </c>
      <c r="C25" s="291"/>
      <c r="D25" s="291"/>
      <c r="E25" s="291"/>
      <c r="F25" s="291"/>
      <c r="G25" s="291"/>
      <c r="H25" s="291"/>
      <c r="I25" s="291"/>
      <c r="J25" s="291"/>
      <c r="K25" s="291"/>
      <c r="L25" s="291"/>
      <c r="M25" s="291"/>
      <c r="N25" s="291"/>
      <c r="O25" s="291"/>
    </row>
    <row r="26" spans="1:15" x14ac:dyDescent="0.25">
      <c r="A26" s="294" t="s">
        <v>798</v>
      </c>
      <c r="B26" s="291" t="s">
        <v>846</v>
      </c>
      <c r="C26" s="291"/>
      <c r="D26" s="291"/>
      <c r="E26" s="291"/>
      <c r="F26" s="291"/>
      <c r="G26" s="291"/>
      <c r="H26" s="291"/>
      <c r="I26" s="291"/>
      <c r="J26" s="291"/>
      <c r="K26" s="291"/>
      <c r="L26" s="291"/>
      <c r="M26" s="291"/>
      <c r="N26" s="291"/>
      <c r="O26" s="291"/>
    </row>
    <row r="27" spans="1:15" x14ac:dyDescent="0.25">
      <c r="A27" s="294" t="s">
        <v>798</v>
      </c>
      <c r="B27" s="291"/>
      <c r="C27" s="291"/>
      <c r="D27" s="291"/>
      <c r="E27" s="291"/>
      <c r="F27" s="291"/>
      <c r="G27" s="291"/>
      <c r="H27" s="291"/>
      <c r="I27" s="291"/>
      <c r="J27" s="291"/>
      <c r="K27" s="291"/>
      <c r="L27" s="291"/>
      <c r="M27" s="291"/>
      <c r="N27" s="291"/>
      <c r="O27" s="291"/>
    </row>
    <row r="28" spans="1:15" x14ac:dyDescent="0.25">
      <c r="A28" s="291"/>
      <c r="B28" s="291"/>
      <c r="C28" s="291"/>
      <c r="D28" s="291"/>
      <c r="E28" s="291"/>
      <c r="F28" s="291"/>
      <c r="G28" s="291"/>
      <c r="H28" s="291"/>
      <c r="I28" s="291"/>
      <c r="J28" s="291"/>
      <c r="K28" s="291"/>
      <c r="L28" s="291"/>
      <c r="M28" s="291"/>
      <c r="N28" s="291"/>
      <c r="O28" s="291"/>
    </row>
    <row r="29" spans="1:15" x14ac:dyDescent="0.25">
      <c r="A29" s="291"/>
      <c r="B29" s="291"/>
      <c r="C29" s="291"/>
      <c r="D29" s="291"/>
      <c r="E29" s="291"/>
      <c r="F29" s="291"/>
      <c r="G29" s="291"/>
      <c r="H29" s="291"/>
      <c r="I29" s="291"/>
      <c r="J29" s="291"/>
      <c r="K29" s="291"/>
      <c r="L29" s="291"/>
      <c r="M29" s="291"/>
      <c r="N29" s="291"/>
      <c r="O29" s="291"/>
    </row>
    <row r="30" spans="1:15" x14ac:dyDescent="0.25">
      <c r="A30" s="291"/>
      <c r="B30" s="291"/>
      <c r="C30" s="291"/>
      <c r="D30" s="291"/>
      <c r="E30" s="291"/>
      <c r="F30" s="291"/>
      <c r="G30" s="291"/>
      <c r="H30" s="291"/>
      <c r="I30" s="291"/>
      <c r="J30" s="291"/>
      <c r="K30" s="291"/>
      <c r="L30" s="291"/>
      <c r="M30" s="291"/>
      <c r="N30" s="291"/>
      <c r="O30" s="291"/>
    </row>
    <row r="31" spans="1:15" x14ac:dyDescent="0.25">
      <c r="A31" s="288" t="s">
        <v>854</v>
      </c>
      <c r="B31" s="291" t="s">
        <v>894</v>
      </c>
      <c r="C31" s="291"/>
      <c r="D31" s="1137" t="s">
        <v>875</v>
      </c>
      <c r="E31" s="1137"/>
      <c r="F31" s="1137"/>
      <c r="G31" s="1137"/>
      <c r="H31" s="291"/>
      <c r="I31" s="291"/>
      <c r="J31" s="291"/>
      <c r="K31" s="291"/>
      <c r="L31" s="291"/>
      <c r="M31" s="291"/>
      <c r="N31" s="291"/>
      <c r="O31" s="291"/>
    </row>
    <row r="32" spans="1:15" x14ac:dyDescent="0.25">
      <c r="A32" s="291"/>
      <c r="B32" s="294" t="s">
        <v>848</v>
      </c>
      <c r="C32" s="294" t="s">
        <v>849</v>
      </c>
      <c r="D32" s="294" t="s">
        <v>1114</v>
      </c>
      <c r="E32" s="10" t="s">
        <v>1115</v>
      </c>
      <c r="F32" s="10" t="s">
        <v>1116</v>
      </c>
      <c r="G32" s="10" t="s">
        <v>1117</v>
      </c>
      <c r="H32" s="10" t="s">
        <v>1118</v>
      </c>
      <c r="I32" s="398" t="s">
        <v>904</v>
      </c>
      <c r="J32" s="291"/>
      <c r="K32" s="291"/>
      <c r="L32" s="291"/>
      <c r="M32" s="291"/>
      <c r="N32" s="291"/>
      <c r="O32" s="291"/>
    </row>
    <row r="33" spans="1:15" x14ac:dyDescent="0.25">
      <c r="A33" s="294" t="s">
        <v>83</v>
      </c>
      <c r="B33" s="287">
        <v>0.32</v>
      </c>
      <c r="C33" s="287">
        <v>0.15</v>
      </c>
      <c r="D33" s="287">
        <v>0.55000000000000004</v>
      </c>
      <c r="E33" s="287">
        <v>0.5</v>
      </c>
      <c r="F33" s="714">
        <v>0.5</v>
      </c>
      <c r="G33" s="287">
        <v>0.35</v>
      </c>
      <c r="H33" s="287">
        <v>0.5</v>
      </c>
      <c r="I33" s="291"/>
      <c r="J33" s="291" t="s">
        <v>974</v>
      </c>
      <c r="K33" s="291"/>
      <c r="L33" s="291"/>
      <c r="M33" s="291"/>
      <c r="N33" s="291"/>
      <c r="O33" s="291"/>
    </row>
    <row r="34" spans="1:15" x14ac:dyDescent="0.25">
      <c r="A34" s="294" t="s">
        <v>845</v>
      </c>
      <c r="B34" s="287">
        <v>0.21</v>
      </c>
      <c r="C34" s="287">
        <v>0.2</v>
      </c>
      <c r="D34" s="287">
        <v>0.55000000000000004</v>
      </c>
      <c r="E34" s="287">
        <v>0.5</v>
      </c>
      <c r="F34" s="714">
        <v>0.5</v>
      </c>
      <c r="G34" s="287">
        <v>0.35</v>
      </c>
      <c r="H34" s="287">
        <v>0.5</v>
      </c>
      <c r="I34" s="291"/>
      <c r="J34" s="291"/>
      <c r="K34" s="291"/>
      <c r="L34" s="291"/>
      <c r="M34" s="291"/>
      <c r="N34" s="291"/>
      <c r="O34" s="291"/>
    </row>
    <row r="35" spans="1:15" x14ac:dyDescent="0.25">
      <c r="A35" s="294" t="s">
        <v>846</v>
      </c>
      <c r="B35" s="287">
        <v>0.25</v>
      </c>
      <c r="C35" s="287">
        <v>0.25</v>
      </c>
      <c r="D35" s="287">
        <v>0.55000000000000004</v>
      </c>
      <c r="E35" s="287">
        <v>0.5</v>
      </c>
      <c r="F35" s="714">
        <v>0.5</v>
      </c>
      <c r="G35" s="287">
        <v>0.35</v>
      </c>
      <c r="H35" s="287">
        <v>0.5</v>
      </c>
      <c r="I35" s="291"/>
      <c r="J35" s="291"/>
      <c r="K35" s="291"/>
      <c r="L35" s="291"/>
      <c r="M35" s="291"/>
      <c r="N35" s="291"/>
      <c r="O35" s="291"/>
    </row>
    <row r="36" spans="1:15" x14ac:dyDescent="0.25">
      <c r="A36" s="291"/>
      <c r="B36" s="291"/>
      <c r="C36" s="291"/>
      <c r="D36" s="291"/>
      <c r="E36" s="284"/>
      <c r="F36" s="284"/>
      <c r="G36" s="284"/>
      <c r="H36" s="277"/>
      <c r="I36" s="277"/>
      <c r="J36" s="291"/>
      <c r="K36" s="277"/>
      <c r="L36" s="291"/>
      <c r="M36" s="291"/>
      <c r="N36" s="291"/>
      <c r="O36" s="291"/>
    </row>
    <row r="37" spans="1:15" ht="15.75" x14ac:dyDescent="0.25">
      <c r="A37" s="278" t="s">
        <v>1119</v>
      </c>
      <c r="B37" s="291" t="s">
        <v>894</v>
      </c>
      <c r="C37" s="291"/>
      <c r="D37" s="291"/>
      <c r="E37" s="291"/>
      <c r="F37" s="291"/>
      <c r="G37" s="291"/>
      <c r="H37" s="291"/>
      <c r="I37" s="291"/>
      <c r="J37" s="277"/>
      <c r="K37" s="519"/>
      <c r="L37" s="278" t="s">
        <v>975</v>
      </c>
      <c r="M37" s="285"/>
      <c r="N37" s="283"/>
      <c r="O37" s="291"/>
    </row>
    <row r="38" spans="1:15" x14ac:dyDescent="0.25">
      <c r="A38" s="293"/>
      <c r="B38" s="294" t="s">
        <v>1120</v>
      </c>
      <c r="C38" s="294" t="s">
        <v>1121</v>
      </c>
      <c r="D38" s="294" t="s">
        <v>1122</v>
      </c>
      <c r="E38" s="294" t="s">
        <v>1123</v>
      </c>
      <c r="F38" s="294" t="s">
        <v>1124</v>
      </c>
      <c r="G38" s="294" t="s">
        <v>1125</v>
      </c>
      <c r="H38" s="291"/>
      <c r="I38" s="291"/>
      <c r="J38" s="291"/>
      <c r="K38" s="519"/>
      <c r="L38" s="499" t="s">
        <v>607</v>
      </c>
      <c r="M38" s="301" t="s">
        <v>608</v>
      </c>
      <c r="N38" s="519"/>
      <c r="O38" s="291"/>
    </row>
    <row r="39" spans="1:15" x14ac:dyDescent="0.25">
      <c r="A39" s="294" t="s">
        <v>794</v>
      </c>
      <c r="B39" s="25">
        <v>28.9</v>
      </c>
      <c r="C39" s="25">
        <v>5.2</v>
      </c>
      <c r="D39" s="25">
        <v>7.75</v>
      </c>
      <c r="E39" s="25">
        <v>7.6</v>
      </c>
      <c r="F39" s="25">
        <v>1.7829999999999999E-2</v>
      </c>
      <c r="G39" s="25">
        <v>8.4833000000000006E-2</v>
      </c>
      <c r="H39" s="291"/>
      <c r="I39" s="291"/>
      <c r="J39" s="291"/>
      <c r="K39" s="395"/>
      <c r="L39" s="499">
        <v>32</v>
      </c>
      <c r="M39" s="499">
        <v>127</v>
      </c>
      <c r="N39" s="286" t="s">
        <v>976</v>
      </c>
      <c r="O39" s="291"/>
    </row>
    <row r="40" spans="1:15" x14ac:dyDescent="0.25">
      <c r="A40" s="294" t="s">
        <v>795</v>
      </c>
      <c r="B40" s="25">
        <v>31.359999999999996</v>
      </c>
      <c r="C40" s="25">
        <v>6.0666599999999997</v>
      </c>
      <c r="D40" s="25">
        <v>8.43333333333333</v>
      </c>
      <c r="E40" s="25">
        <v>9.2333333333333307</v>
      </c>
      <c r="F40" s="25">
        <v>1.9E-2</v>
      </c>
      <c r="G40" s="25">
        <v>9.1329999999999995E-2</v>
      </c>
      <c r="H40" s="291"/>
      <c r="I40" s="291"/>
      <c r="J40" s="291"/>
      <c r="K40" s="265"/>
      <c r="L40" s="499">
        <v>47</v>
      </c>
      <c r="M40" s="499">
        <v>208</v>
      </c>
      <c r="N40" s="286" t="s">
        <v>976</v>
      </c>
      <c r="O40" s="291"/>
    </row>
    <row r="41" spans="1:15" x14ac:dyDescent="0.25">
      <c r="A41" s="294" t="s">
        <v>796</v>
      </c>
      <c r="B41" s="25">
        <v>21</v>
      </c>
      <c r="C41" s="25">
        <v>4.8</v>
      </c>
      <c r="D41" s="25">
        <v>6.93333333333333</v>
      </c>
      <c r="E41" s="25">
        <v>8.5</v>
      </c>
      <c r="F41" s="25">
        <v>1.9E-2</v>
      </c>
      <c r="G41" s="25">
        <v>9.0666666666666701E-2</v>
      </c>
      <c r="H41" s="291"/>
      <c r="I41" s="291"/>
      <c r="J41" s="291"/>
      <c r="K41" s="265"/>
      <c r="L41" s="499">
        <v>44</v>
      </c>
      <c r="M41" s="499">
        <v>213</v>
      </c>
      <c r="N41" s="286" t="s">
        <v>976</v>
      </c>
      <c r="O41" s="291"/>
    </row>
    <row r="42" spans="1:15" x14ac:dyDescent="0.25">
      <c r="A42" s="294" t="s">
        <v>797</v>
      </c>
      <c r="B42" s="25">
        <v>28</v>
      </c>
      <c r="C42" s="25">
        <v>5.4</v>
      </c>
      <c r="D42" s="25">
        <v>7.5</v>
      </c>
      <c r="E42" s="25">
        <v>8.25</v>
      </c>
      <c r="F42" s="25">
        <v>1.8499999999999999E-2</v>
      </c>
      <c r="G42" s="25">
        <v>9.1999999999999998E-2</v>
      </c>
      <c r="H42" s="291"/>
      <c r="I42" s="291"/>
      <c r="J42" s="291"/>
      <c r="K42" s="519"/>
      <c r="L42" s="500">
        <v>43.558282208588963</v>
      </c>
      <c r="M42" s="500">
        <v>230.67484662576689</v>
      </c>
      <c r="N42" s="286" t="s">
        <v>976</v>
      </c>
      <c r="O42" s="291"/>
    </row>
    <row r="43" spans="1:15" x14ac:dyDescent="0.25">
      <c r="A43" s="294" t="s">
        <v>798</v>
      </c>
      <c r="B43" s="294">
        <v>27.04</v>
      </c>
      <c r="C43" s="294">
        <v>5.05</v>
      </c>
      <c r="D43" s="294">
        <v>7.55</v>
      </c>
      <c r="E43" s="294">
        <v>38.35</v>
      </c>
      <c r="F43" s="294">
        <v>1.9E-2</v>
      </c>
      <c r="G43" s="294">
        <v>0.76500000000000001</v>
      </c>
      <c r="H43" s="291"/>
      <c r="I43" s="291"/>
      <c r="J43" s="291"/>
      <c r="K43" s="519"/>
      <c r="L43" s="501">
        <v>36.683937823834192</v>
      </c>
      <c r="M43" s="500">
        <v>175.12953367875647</v>
      </c>
      <c r="N43" s="286" t="s">
        <v>977</v>
      </c>
      <c r="O43" s="291"/>
    </row>
    <row r="44" spans="1:15" x14ac:dyDescent="0.25">
      <c r="A44" s="291"/>
      <c r="B44" s="291"/>
      <c r="C44" s="291"/>
      <c r="D44" s="291"/>
      <c r="E44" s="291"/>
      <c r="F44" s="291"/>
      <c r="G44" s="291"/>
      <c r="H44" s="291"/>
      <c r="I44" s="291"/>
      <c r="J44" s="291"/>
      <c r="K44" s="519"/>
      <c r="L44" s="301"/>
      <c r="M44" s="10"/>
      <c r="N44" s="519"/>
      <c r="O44" s="291"/>
    </row>
    <row r="45" spans="1:15" x14ac:dyDescent="0.25">
      <c r="A45" s="291"/>
      <c r="B45" s="291"/>
      <c r="C45" s="291"/>
      <c r="D45" s="291"/>
      <c r="E45" s="291"/>
      <c r="F45" s="291"/>
      <c r="G45" s="291"/>
      <c r="H45" s="291"/>
      <c r="I45" s="291"/>
      <c r="J45" s="519"/>
      <c r="K45" s="291"/>
      <c r="L45" s="291"/>
      <c r="M45" s="291"/>
      <c r="N45" s="291"/>
      <c r="O45" s="291"/>
    </row>
    <row r="46" spans="1:15" x14ac:dyDescent="0.25">
      <c r="A46" s="278" t="s">
        <v>855</v>
      </c>
      <c r="B46" s="294" t="s">
        <v>1126</v>
      </c>
      <c r="C46" s="294" t="s">
        <v>857</v>
      </c>
      <c r="D46" s="294" t="s">
        <v>856</v>
      </c>
      <c r="E46" s="294" t="s">
        <v>1127</v>
      </c>
      <c r="F46" s="294" t="s">
        <v>1128</v>
      </c>
      <c r="G46" s="294" t="s">
        <v>1129</v>
      </c>
      <c r="H46" s="301" t="s">
        <v>781</v>
      </c>
      <c r="I46" s="291"/>
      <c r="J46" s="519"/>
      <c r="K46" s="291"/>
      <c r="L46" s="291"/>
      <c r="M46" s="291"/>
      <c r="N46" s="291"/>
      <c r="O46" s="291"/>
    </row>
    <row r="47" spans="1:15" x14ac:dyDescent="0.25">
      <c r="A47" s="294" t="s">
        <v>794</v>
      </c>
      <c r="B47" s="294">
        <v>28.96</v>
      </c>
      <c r="C47" s="294">
        <v>5.8</v>
      </c>
      <c r="D47" s="294">
        <v>2</v>
      </c>
      <c r="E47" s="294">
        <v>12</v>
      </c>
      <c r="F47" s="10">
        <v>1.6999999999999999E-3</v>
      </c>
      <c r="G47" s="10">
        <v>2.1299999999999999E-2</v>
      </c>
      <c r="H47" s="498">
        <v>0.68</v>
      </c>
      <c r="I47" s="291"/>
      <c r="J47" s="519"/>
      <c r="K47" s="291"/>
      <c r="L47" s="291"/>
      <c r="M47" s="291"/>
      <c r="N47" s="291"/>
      <c r="O47" s="291"/>
    </row>
    <row r="48" spans="1:15" x14ac:dyDescent="0.25">
      <c r="A48" s="294" t="s">
        <v>795</v>
      </c>
      <c r="B48" s="294">
        <v>35.840000000000003</v>
      </c>
      <c r="C48" s="294">
        <v>5.3</v>
      </c>
      <c r="D48" s="294">
        <v>2</v>
      </c>
      <c r="E48" s="294">
        <v>12</v>
      </c>
      <c r="F48" s="10">
        <v>1.4E-3</v>
      </c>
      <c r="G48" s="10">
        <v>2.1999999999999999E-2</v>
      </c>
      <c r="H48" s="498">
        <v>0.68</v>
      </c>
      <c r="I48" s="291"/>
      <c r="J48" s="519"/>
      <c r="K48" s="291"/>
      <c r="L48" s="291"/>
      <c r="M48" s="291"/>
      <c r="N48" s="291"/>
      <c r="O48" s="291"/>
    </row>
    <row r="49" spans="1:15" x14ac:dyDescent="0.25">
      <c r="A49" s="294" t="s">
        <v>796</v>
      </c>
      <c r="B49" s="294">
        <v>33.6</v>
      </c>
      <c r="C49" s="294">
        <v>4.3</v>
      </c>
      <c r="D49" s="294">
        <v>2</v>
      </c>
      <c r="E49" s="294">
        <v>12</v>
      </c>
      <c r="F49" s="10">
        <v>2.2000000000000001E-3</v>
      </c>
      <c r="G49" s="10">
        <v>1.95E-2</v>
      </c>
      <c r="H49" s="498">
        <v>0.68</v>
      </c>
      <c r="I49" s="291"/>
      <c r="J49" s="519"/>
      <c r="K49" s="291"/>
      <c r="L49" s="291"/>
      <c r="M49" s="291"/>
      <c r="N49" s="291"/>
      <c r="O49" s="291"/>
    </row>
    <row r="50" spans="1:15" x14ac:dyDescent="0.25">
      <c r="A50" s="294" t="s">
        <v>797</v>
      </c>
      <c r="B50" s="294">
        <v>38.4</v>
      </c>
      <c r="C50" s="294">
        <v>5.0999999999999996</v>
      </c>
      <c r="D50" s="294">
        <v>2</v>
      </c>
      <c r="E50" s="294">
        <v>12</v>
      </c>
      <c r="F50" s="10">
        <v>5.0000000000000001E-3</v>
      </c>
      <c r="G50" s="10">
        <v>1.7000000000000001E-2</v>
      </c>
      <c r="H50" s="498">
        <v>0.68</v>
      </c>
      <c r="I50" s="291"/>
      <c r="J50" s="519"/>
      <c r="K50" s="291"/>
      <c r="L50" s="291"/>
      <c r="M50" s="291"/>
      <c r="N50" s="291"/>
      <c r="O50" s="291"/>
    </row>
    <row r="51" spans="1:15" x14ac:dyDescent="0.25">
      <c r="A51" s="294" t="s">
        <v>798</v>
      </c>
      <c r="B51" s="294">
        <v>32</v>
      </c>
      <c r="C51" s="294">
        <v>4.8</v>
      </c>
      <c r="D51" s="294">
        <v>2</v>
      </c>
      <c r="E51" s="294">
        <v>12</v>
      </c>
      <c r="F51" s="10">
        <v>3.0000000000000001E-3</v>
      </c>
      <c r="G51" s="10">
        <v>2.5000000000000001E-2</v>
      </c>
      <c r="H51" s="498">
        <v>0.68</v>
      </c>
      <c r="I51" s="291"/>
      <c r="J51" s="519"/>
      <c r="K51" s="291"/>
      <c r="L51" s="291"/>
      <c r="M51" s="291"/>
      <c r="N51" s="291"/>
      <c r="O51" s="291"/>
    </row>
    <row r="52" spans="1:15" x14ac:dyDescent="0.25">
      <c r="A52" s="294" t="s">
        <v>798</v>
      </c>
      <c r="B52" s="294">
        <v>18.399999999999999</v>
      </c>
      <c r="C52" s="294">
        <v>2.15</v>
      </c>
      <c r="D52" s="294">
        <v>1.2</v>
      </c>
      <c r="E52" s="294">
        <v>36</v>
      </c>
      <c r="F52" s="294">
        <v>8.9999999999999998E-4</v>
      </c>
      <c r="G52" s="294">
        <v>1.26E-2</v>
      </c>
      <c r="H52" s="498">
        <v>0.23</v>
      </c>
      <c r="I52" s="291" t="s">
        <v>1130</v>
      </c>
      <c r="J52" s="519"/>
      <c r="K52" s="291"/>
      <c r="L52" s="291"/>
      <c r="M52" s="291"/>
      <c r="N52" s="291"/>
      <c r="O52" s="291"/>
    </row>
    <row r="53" spans="1:15" x14ac:dyDescent="0.25">
      <c r="A53" s="291"/>
      <c r="B53" s="291"/>
      <c r="C53" s="291"/>
      <c r="D53" s="291"/>
      <c r="E53" s="291"/>
      <c r="F53" s="291"/>
      <c r="G53" s="291"/>
      <c r="H53" s="291"/>
      <c r="I53" s="291"/>
      <c r="J53" s="519"/>
      <c r="K53" s="291"/>
      <c r="L53" s="291"/>
      <c r="M53" s="291"/>
      <c r="N53" s="291"/>
      <c r="O53" s="291"/>
    </row>
    <row r="54" spans="1:15" x14ac:dyDescent="0.25">
      <c r="A54" s="291"/>
      <c r="B54" s="291"/>
      <c r="C54" s="291"/>
      <c r="D54" s="291"/>
      <c r="E54" s="291"/>
      <c r="F54" s="291"/>
      <c r="G54" s="291"/>
      <c r="H54" s="291"/>
      <c r="I54" s="291"/>
      <c r="J54" s="519"/>
      <c r="K54" s="291"/>
      <c r="L54" s="291"/>
      <c r="M54" s="291"/>
      <c r="N54" s="291"/>
      <c r="O54" s="291"/>
    </row>
    <row r="55" spans="1:15" x14ac:dyDescent="0.25">
      <c r="A55" s="291"/>
      <c r="B55" s="291"/>
      <c r="C55" s="291"/>
      <c r="D55" s="291"/>
      <c r="E55" s="291"/>
      <c r="F55" s="291"/>
      <c r="G55" s="291"/>
      <c r="H55" s="291"/>
      <c r="I55" s="291"/>
      <c r="J55" s="519"/>
      <c r="K55" s="291"/>
      <c r="L55" s="291"/>
      <c r="M55" s="291"/>
      <c r="N55" s="291"/>
      <c r="O55" s="291"/>
    </row>
    <row r="56" spans="1:15" x14ac:dyDescent="0.25">
      <c r="A56" s="278" t="s">
        <v>859</v>
      </c>
      <c r="B56" s="291" t="s">
        <v>861</v>
      </c>
      <c r="C56" s="291"/>
      <c r="D56" s="291"/>
      <c r="E56" s="291"/>
      <c r="F56" s="291"/>
      <c r="G56" s="291"/>
      <c r="H56" s="291"/>
      <c r="I56" s="291"/>
      <c r="J56" s="291"/>
      <c r="K56" s="291"/>
      <c r="L56" s="291"/>
      <c r="M56" s="291"/>
      <c r="N56" s="291"/>
      <c r="O56" s="291"/>
    </row>
    <row r="57" spans="1:15" x14ac:dyDescent="0.25">
      <c r="A57" s="291"/>
      <c r="B57" s="294" t="s">
        <v>860</v>
      </c>
      <c r="C57" s="294" t="s">
        <v>847</v>
      </c>
      <c r="D57" s="294" t="s">
        <v>969</v>
      </c>
      <c r="E57" s="10" t="s">
        <v>1166</v>
      </c>
      <c r="F57" s="10" t="s">
        <v>898</v>
      </c>
      <c r="G57" s="291"/>
      <c r="H57" s="291"/>
      <c r="I57" s="291"/>
      <c r="J57" s="291"/>
      <c r="K57" s="291"/>
      <c r="L57" s="291"/>
      <c r="M57" s="291"/>
      <c r="N57" s="291"/>
      <c r="O57" s="291"/>
    </row>
    <row r="58" spans="1:15" x14ac:dyDescent="0.25">
      <c r="A58" s="290" t="s">
        <v>794</v>
      </c>
      <c r="B58" s="294">
        <v>14</v>
      </c>
      <c r="C58" s="294">
        <v>510</v>
      </c>
      <c r="D58" s="287">
        <v>0.63</v>
      </c>
      <c r="E58" s="822">
        <v>0.219</v>
      </c>
      <c r="F58" s="287">
        <v>0.8</v>
      </c>
      <c r="G58" s="291" t="s">
        <v>964</v>
      </c>
      <c r="H58" s="291"/>
      <c r="I58" s="291"/>
      <c r="J58" s="291"/>
      <c r="K58" s="291"/>
      <c r="L58" s="291"/>
      <c r="M58" s="291"/>
      <c r="N58" s="291"/>
      <c r="O58" s="291"/>
    </row>
    <row r="59" spans="1:15" x14ac:dyDescent="0.25">
      <c r="A59" s="290" t="s">
        <v>795</v>
      </c>
      <c r="B59" s="294">
        <v>17.25</v>
      </c>
      <c r="C59" s="294">
        <v>430</v>
      </c>
      <c r="D59" s="287">
        <v>0.52</v>
      </c>
      <c r="E59" s="822">
        <v>0.28000000000000003</v>
      </c>
      <c r="F59" s="287">
        <v>0.8</v>
      </c>
      <c r="G59" s="291" t="s">
        <v>964</v>
      </c>
      <c r="H59" s="291"/>
      <c r="I59" s="291"/>
      <c r="J59" s="291"/>
      <c r="K59" s="291"/>
      <c r="L59" s="291"/>
      <c r="M59" s="291"/>
      <c r="N59" s="291"/>
      <c r="O59" s="291"/>
    </row>
    <row r="60" spans="1:15" x14ac:dyDescent="0.25">
      <c r="A60" s="290" t="s">
        <v>796</v>
      </c>
      <c r="B60" s="294">
        <v>5.4</v>
      </c>
      <c r="C60" s="294">
        <v>99</v>
      </c>
      <c r="D60" s="396">
        <v>0.125</v>
      </c>
      <c r="E60" s="287">
        <v>0.41</v>
      </c>
      <c r="F60" s="287">
        <v>0.65</v>
      </c>
      <c r="G60" s="291" t="s">
        <v>964</v>
      </c>
      <c r="H60" s="291"/>
      <c r="I60" s="291"/>
      <c r="J60" s="291"/>
      <c r="K60" s="291"/>
      <c r="L60" s="291"/>
      <c r="M60" s="291"/>
      <c r="N60" s="291"/>
      <c r="O60" s="291"/>
    </row>
    <row r="61" spans="1:15" x14ac:dyDescent="0.25">
      <c r="A61" s="290" t="s">
        <v>797</v>
      </c>
      <c r="B61" s="294">
        <v>21</v>
      </c>
      <c r="C61" s="294">
        <v>430</v>
      </c>
      <c r="D61" s="287">
        <v>0.68</v>
      </c>
      <c r="E61" s="396">
        <v>0.219</v>
      </c>
      <c r="F61" s="287">
        <v>0.8</v>
      </c>
      <c r="G61" s="291" t="s">
        <v>964</v>
      </c>
      <c r="H61" s="291"/>
      <c r="I61" s="291"/>
      <c r="J61" s="291"/>
      <c r="K61" s="291"/>
      <c r="L61" s="291"/>
      <c r="M61" s="291"/>
      <c r="N61" s="291"/>
      <c r="O61" s="291"/>
    </row>
    <row r="62" spans="1:15" x14ac:dyDescent="0.25">
      <c r="A62" s="290" t="s">
        <v>798</v>
      </c>
      <c r="B62" s="483">
        <v>35.724999999999994</v>
      </c>
      <c r="C62" s="483">
        <v>581.75</v>
      </c>
      <c r="D62" s="714">
        <f>AVERAGE(77.6,84.8,79.7,77.4)/100</f>
        <v>0.79874999999999996</v>
      </c>
      <c r="E62" s="396">
        <v>0.127</v>
      </c>
      <c r="F62" s="714">
        <f>AVERAGE(70.6,74,74.4,72.2)/100</f>
        <v>0.72799999999999998</v>
      </c>
      <c r="G62" s="291" t="s">
        <v>964</v>
      </c>
      <c r="H62" s="291"/>
      <c r="I62" s="291"/>
      <c r="J62" s="291"/>
      <c r="K62" s="291"/>
      <c r="L62" s="291"/>
      <c r="M62" s="291"/>
      <c r="N62" s="291"/>
      <c r="O62" s="291"/>
    </row>
    <row r="63" spans="1:15" x14ac:dyDescent="0.25">
      <c r="A63" s="291"/>
      <c r="B63" s="291"/>
      <c r="C63" s="291"/>
      <c r="D63" s="291"/>
      <c r="E63" s="291"/>
      <c r="F63" s="291"/>
      <c r="G63" s="291"/>
      <c r="H63" s="291"/>
      <c r="I63" s="291"/>
      <c r="J63" s="291"/>
      <c r="K63" s="291"/>
      <c r="L63" s="291"/>
      <c r="M63" s="291"/>
      <c r="N63" s="291"/>
      <c r="O63" s="291"/>
    </row>
    <row r="64" spans="1:15" x14ac:dyDescent="0.25">
      <c r="A64" s="278" t="s">
        <v>967</v>
      </c>
      <c r="B64" s="291" t="s">
        <v>968</v>
      </c>
      <c r="C64" s="291"/>
      <c r="D64" s="291"/>
      <c r="E64" s="291"/>
      <c r="F64" s="291"/>
      <c r="G64" s="291"/>
      <c r="H64" s="291"/>
      <c r="I64" s="291"/>
      <c r="J64" s="291"/>
      <c r="K64" s="291"/>
      <c r="L64" s="291"/>
      <c r="M64" s="291"/>
      <c r="N64" s="291"/>
      <c r="O64" s="291"/>
    </row>
    <row r="65" spans="1:15" x14ac:dyDescent="0.25">
      <c r="A65" s="294" t="s">
        <v>965</v>
      </c>
      <c r="B65" s="287">
        <v>0.32</v>
      </c>
      <c r="C65" s="291"/>
      <c r="D65" s="291"/>
      <c r="E65" s="291"/>
      <c r="F65" s="291"/>
      <c r="G65" s="291"/>
      <c r="H65" s="291"/>
      <c r="I65" s="291"/>
      <c r="J65" s="291"/>
      <c r="K65" s="291"/>
      <c r="L65" s="291"/>
      <c r="M65" s="291"/>
      <c r="N65" s="291"/>
      <c r="O65" s="291"/>
    </row>
    <row r="66" spans="1:15" x14ac:dyDescent="0.25">
      <c r="A66" s="294" t="s">
        <v>966</v>
      </c>
      <c r="B66" s="287">
        <v>0.18</v>
      </c>
      <c r="C66" s="291"/>
      <c r="D66" s="291"/>
      <c r="E66" s="291"/>
      <c r="F66" s="291"/>
      <c r="G66" s="291"/>
      <c r="H66" s="291"/>
      <c r="I66" s="291"/>
      <c r="J66" s="291"/>
      <c r="K66" s="291"/>
      <c r="L66" s="291"/>
      <c r="M66" s="291"/>
      <c r="N66" s="291"/>
      <c r="O66" s="291"/>
    </row>
    <row r="67" spans="1:15" x14ac:dyDescent="0.25">
      <c r="A67" s="294" t="s">
        <v>846</v>
      </c>
      <c r="B67" s="287">
        <v>0.5</v>
      </c>
      <c r="C67" s="291"/>
      <c r="D67" s="291"/>
      <c r="E67" s="291"/>
      <c r="F67" s="291"/>
      <c r="G67" s="291"/>
      <c r="H67" s="291"/>
      <c r="I67" s="291"/>
      <c r="J67" s="291"/>
      <c r="K67" s="291"/>
      <c r="L67" s="291"/>
      <c r="M67" s="291"/>
      <c r="N67" s="291"/>
      <c r="O67" s="291"/>
    </row>
    <row r="68" spans="1:15" ht="15.75" thickBot="1" x14ac:dyDescent="0.3">
      <c r="A68" s="291"/>
      <c r="B68" s="291"/>
      <c r="C68" s="291"/>
      <c r="D68" s="291"/>
      <c r="E68" s="291"/>
      <c r="F68" s="291"/>
      <c r="G68" s="291"/>
      <c r="H68" s="291"/>
      <c r="I68" s="291"/>
      <c r="J68" s="291"/>
      <c r="K68" s="291"/>
      <c r="L68" s="291"/>
      <c r="M68" s="291"/>
      <c r="N68" s="291"/>
      <c r="O68" s="291"/>
    </row>
    <row r="69" spans="1:15" ht="15.75" thickBot="1" x14ac:dyDescent="0.3">
      <c r="A69" s="715" t="s">
        <v>819</v>
      </c>
      <c r="B69" s="716"/>
      <c r="C69" s="291"/>
      <c r="D69" s="291"/>
      <c r="E69" s="291"/>
      <c r="F69" s="291"/>
      <c r="G69" s="291"/>
      <c r="H69" s="291"/>
      <c r="I69" s="291"/>
      <c r="J69" s="291"/>
      <c r="K69" s="291"/>
      <c r="L69" s="291"/>
      <c r="M69" s="291"/>
      <c r="N69" s="291"/>
      <c r="O69" s="291"/>
    </row>
    <row r="70" spans="1:15" x14ac:dyDescent="0.25">
      <c r="A70" s="334" t="s">
        <v>510</v>
      </c>
      <c r="B70" s="335" t="s">
        <v>820</v>
      </c>
      <c r="C70" s="291"/>
      <c r="D70" s="291"/>
      <c r="E70" s="291"/>
      <c r="F70" s="291"/>
      <c r="G70" s="291"/>
      <c r="H70" s="291"/>
      <c r="I70" s="291"/>
      <c r="J70" s="291"/>
      <c r="K70" s="291"/>
      <c r="L70" s="291"/>
      <c r="M70" s="291"/>
      <c r="N70" s="291"/>
      <c r="O70" s="291"/>
    </row>
    <row r="71" spans="1:15" x14ac:dyDescent="0.25">
      <c r="A71" s="336" t="s">
        <v>511</v>
      </c>
      <c r="B71" s="337" t="s">
        <v>821</v>
      </c>
      <c r="C71" s="291"/>
      <c r="D71" s="291"/>
      <c r="E71" s="291"/>
      <c r="F71" s="291"/>
      <c r="G71" s="291"/>
      <c r="H71" s="291"/>
      <c r="I71" s="291"/>
      <c r="J71" s="291"/>
      <c r="K71" s="291"/>
      <c r="L71" s="291"/>
      <c r="M71" s="291"/>
      <c r="N71" s="291"/>
      <c r="O71" s="291"/>
    </row>
    <row r="72" spans="1:15" x14ac:dyDescent="0.25">
      <c r="A72" s="336" t="s">
        <v>822</v>
      </c>
      <c r="B72" s="337" t="s">
        <v>823</v>
      </c>
      <c r="C72" s="291"/>
      <c r="D72" s="291"/>
      <c r="E72" s="291"/>
      <c r="F72" s="291"/>
      <c r="G72" s="291"/>
      <c r="H72" s="291"/>
      <c r="I72" s="291"/>
      <c r="J72" s="291"/>
      <c r="K72" s="291"/>
      <c r="L72" s="291"/>
      <c r="M72" s="291"/>
      <c r="N72" s="291"/>
      <c r="O72" s="291"/>
    </row>
    <row r="73" spans="1:15" ht="15.75" thickBot="1" x14ac:dyDescent="0.3">
      <c r="A73" s="338" t="s">
        <v>507</v>
      </c>
      <c r="B73" s="339" t="s">
        <v>824</v>
      </c>
      <c r="C73" s="291"/>
      <c r="D73" s="291"/>
      <c r="E73" s="291"/>
      <c r="F73" s="291"/>
      <c r="G73" s="291"/>
      <c r="H73" s="291"/>
      <c r="I73" s="291"/>
      <c r="J73" s="291"/>
      <c r="K73" s="291"/>
      <c r="L73" s="291"/>
      <c r="M73" s="291"/>
      <c r="N73" s="291"/>
      <c r="O73" s="291"/>
    </row>
    <row r="74" spans="1:15" x14ac:dyDescent="0.25">
      <c r="A74" s="291"/>
      <c r="B74" s="291"/>
      <c r="C74" s="291"/>
      <c r="D74" s="291"/>
      <c r="E74" s="291"/>
      <c r="F74" s="291"/>
      <c r="G74" s="291"/>
      <c r="H74" s="291"/>
      <c r="I74" s="291"/>
      <c r="J74" s="291"/>
      <c r="K74" s="291"/>
      <c r="L74" s="291"/>
      <c r="M74" s="291"/>
      <c r="N74" s="291"/>
      <c r="O74" s="291"/>
    </row>
    <row r="75" spans="1:15" x14ac:dyDescent="0.25">
      <c r="A75" s="717" t="s">
        <v>1131</v>
      </c>
      <c r="B75" s="718" t="s">
        <v>1132</v>
      </c>
      <c r="C75" s="291" t="s">
        <v>1133</v>
      </c>
      <c r="D75" s="291"/>
      <c r="E75" s="291"/>
      <c r="F75" s="291"/>
      <c r="G75" s="291"/>
      <c r="H75" s="291"/>
      <c r="I75" s="291"/>
      <c r="J75" s="291"/>
      <c r="K75" s="291"/>
      <c r="L75" s="291"/>
      <c r="M75" s="291"/>
      <c r="N75" s="291"/>
      <c r="O75" s="291"/>
    </row>
    <row r="76" spans="1:15" x14ac:dyDescent="0.25">
      <c r="A76" s="290" t="s">
        <v>794</v>
      </c>
      <c r="B76" s="294">
        <v>0.9</v>
      </c>
      <c r="C76" s="291"/>
      <c r="D76" s="291"/>
      <c r="E76" s="291"/>
      <c r="F76" s="291"/>
      <c r="G76" s="291"/>
      <c r="H76" s="291"/>
      <c r="I76" s="291"/>
      <c r="J76" s="291"/>
      <c r="K76" s="291"/>
      <c r="L76" s="291"/>
      <c r="M76" s="291"/>
      <c r="N76" s="291"/>
      <c r="O76" s="291"/>
    </row>
    <row r="77" spans="1:15" x14ac:dyDescent="0.25">
      <c r="A77" s="290" t="s">
        <v>795</v>
      </c>
      <c r="B77" s="289">
        <v>10.45</v>
      </c>
      <c r="C77" s="291"/>
      <c r="D77" s="291"/>
      <c r="E77" s="291"/>
      <c r="F77" s="291"/>
      <c r="G77" s="291"/>
      <c r="H77" s="291"/>
      <c r="I77" s="291"/>
      <c r="J77" s="291"/>
      <c r="K77" s="291"/>
      <c r="L77" s="291"/>
      <c r="M77" s="291"/>
      <c r="N77" s="291"/>
      <c r="O77" s="291"/>
    </row>
    <row r="78" spans="1:15" x14ac:dyDescent="0.25">
      <c r="A78" s="290" t="s">
        <v>796</v>
      </c>
      <c r="B78" s="294">
        <v>17.2</v>
      </c>
      <c r="C78" s="291"/>
      <c r="D78" s="291"/>
      <c r="E78" s="291"/>
      <c r="F78" s="291"/>
      <c r="G78" s="291"/>
      <c r="H78" s="291"/>
      <c r="I78" s="291"/>
      <c r="J78" s="291"/>
      <c r="K78" s="291"/>
      <c r="L78" s="291"/>
      <c r="M78" s="291"/>
      <c r="N78" s="291"/>
      <c r="O78" s="291"/>
    </row>
    <row r="79" spans="1:15" x14ac:dyDescent="0.25">
      <c r="A79" s="290" t="s">
        <v>797</v>
      </c>
      <c r="B79" s="289">
        <v>2.5874999999999999</v>
      </c>
      <c r="C79" s="291"/>
      <c r="D79" s="291"/>
      <c r="E79" s="291"/>
      <c r="F79" s="291"/>
      <c r="G79" s="291"/>
      <c r="H79" s="291"/>
      <c r="I79" s="291"/>
      <c r="J79" s="291"/>
      <c r="K79" s="291"/>
      <c r="L79" s="291"/>
      <c r="M79" s="291"/>
      <c r="N79" s="291"/>
      <c r="O79" s="291"/>
    </row>
    <row r="80" spans="1:15" x14ac:dyDescent="0.25">
      <c r="A80" s="290" t="s">
        <v>798</v>
      </c>
      <c r="B80" s="294">
        <v>22.1</v>
      </c>
      <c r="C80" s="291">
        <v>11.7</v>
      </c>
      <c r="D80" s="291"/>
      <c r="E80" s="291"/>
      <c r="F80" s="291"/>
      <c r="G80" s="291"/>
      <c r="H80" s="291"/>
      <c r="I80" s="291"/>
      <c r="J80" s="291"/>
      <c r="K80" s="291"/>
      <c r="L80" s="291"/>
      <c r="M80" s="291"/>
      <c r="N80" s="291"/>
      <c r="O80" s="291"/>
    </row>
    <row r="81" spans="1:15" x14ac:dyDescent="0.25">
      <c r="A81" s="291"/>
      <c r="B81" s="291" t="s">
        <v>1134</v>
      </c>
      <c r="C81" s="291" t="s">
        <v>1135</v>
      </c>
      <c r="D81" s="291"/>
      <c r="E81" s="291"/>
      <c r="F81" s="291"/>
      <c r="G81" s="291"/>
      <c r="H81" s="291"/>
      <c r="I81" s="291"/>
      <c r="J81" s="291"/>
      <c r="K81" s="291"/>
      <c r="L81" s="291"/>
      <c r="M81" s="291"/>
      <c r="N81" s="291"/>
      <c r="O81" s="291"/>
    </row>
    <row r="82" spans="1:15" x14ac:dyDescent="0.25">
      <c r="A82" s="291"/>
      <c r="B82" s="291"/>
      <c r="C82" s="291"/>
      <c r="D82" s="291"/>
      <c r="E82" s="291"/>
      <c r="F82" s="291"/>
      <c r="G82" s="291"/>
      <c r="H82" s="291"/>
      <c r="I82" s="291"/>
      <c r="J82" s="291"/>
      <c r="K82" s="291"/>
      <c r="L82" s="291"/>
      <c r="M82" s="291"/>
      <c r="N82" s="291"/>
      <c r="O82" s="291"/>
    </row>
    <row r="83" spans="1:15" x14ac:dyDescent="0.25">
      <c r="A83" s="291"/>
      <c r="B83" s="291"/>
      <c r="C83" s="291"/>
      <c r="D83" s="291"/>
      <c r="E83" s="291"/>
      <c r="F83" s="291"/>
      <c r="G83" s="291"/>
      <c r="H83" s="291"/>
      <c r="I83" s="291"/>
      <c r="J83" s="291"/>
      <c r="K83" s="291"/>
      <c r="L83" s="291"/>
      <c r="M83" s="291"/>
      <c r="N83" s="291"/>
      <c r="O83" s="291"/>
    </row>
    <row r="84" spans="1:15" x14ac:dyDescent="0.25">
      <c r="A84" s="291"/>
      <c r="B84" s="291"/>
      <c r="C84" s="291"/>
      <c r="D84" s="291"/>
      <c r="E84" s="291"/>
      <c r="F84" s="291"/>
      <c r="G84" s="291"/>
      <c r="H84" s="291"/>
      <c r="I84" s="291"/>
      <c r="J84" s="291"/>
      <c r="K84" s="291"/>
      <c r="L84" s="291"/>
      <c r="M84" s="291"/>
      <c r="N84" s="291"/>
      <c r="O84" s="291"/>
    </row>
    <row r="85" spans="1:15" x14ac:dyDescent="0.25">
      <c r="A85" s="291"/>
      <c r="B85" s="291"/>
      <c r="C85" s="291"/>
      <c r="D85" s="291"/>
      <c r="E85" s="291"/>
      <c r="F85" s="291"/>
      <c r="G85" s="291"/>
      <c r="H85" s="291"/>
      <c r="I85" s="291"/>
      <c r="J85" s="291"/>
      <c r="K85" s="291"/>
      <c r="L85" s="291"/>
      <c r="M85" s="291"/>
      <c r="N85" s="291"/>
      <c r="O85" s="291"/>
    </row>
  </sheetData>
  <sheetProtection password="A53B" sheet="1" objects="1" scenarios="1"/>
  <mergeCells count="1">
    <mergeCell ref="D31:G3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92D050"/>
  </sheetPr>
  <dimension ref="A1:S79"/>
  <sheetViews>
    <sheetView showGridLines="0" showRowColHeaders="0" zoomScale="70" zoomScaleNormal="70" workbookViewId="0">
      <selection activeCell="C54" sqref="C54"/>
    </sheetView>
  </sheetViews>
  <sheetFormatPr baseColWidth="10" defaultColWidth="0" defaultRowHeight="15" zeroHeight="1" x14ac:dyDescent="0.25"/>
  <cols>
    <col min="1" max="1" width="11.42578125" style="291" customWidth="1"/>
    <col min="2" max="2" width="24.42578125" customWidth="1"/>
    <col min="3" max="3" width="20.85546875" customWidth="1"/>
    <col min="4" max="4" width="24.42578125" customWidth="1"/>
    <col min="5" max="5" width="2" customWidth="1"/>
    <col min="6" max="6" width="42.5703125" customWidth="1"/>
    <col min="7" max="7" width="16.85546875" bestFit="1" customWidth="1"/>
    <col min="8" max="9" width="14.28515625" bestFit="1" customWidth="1"/>
    <col min="10" max="12" width="14.85546875" bestFit="1" customWidth="1"/>
    <col min="13" max="14" width="14.28515625" bestFit="1" customWidth="1"/>
    <col min="15" max="16" width="14.85546875" bestFit="1" customWidth="1"/>
    <col min="17" max="18" width="14.28515625" bestFit="1" customWidth="1"/>
    <col min="19" max="19" width="11.42578125" customWidth="1"/>
    <col min="20" max="16384" width="11.42578125" hidden="1"/>
  </cols>
  <sheetData>
    <row r="1" spans="2:18" ht="15.75" thickBot="1" x14ac:dyDescent="0.3">
      <c r="B1" s="33"/>
      <c r="C1" s="33"/>
      <c r="D1" s="33"/>
      <c r="E1" s="33"/>
      <c r="F1" s="33"/>
      <c r="G1" s="33"/>
      <c r="H1" s="33"/>
      <c r="I1" s="33"/>
      <c r="J1" s="33"/>
      <c r="K1" s="33"/>
      <c r="L1" s="33"/>
      <c r="M1" s="33"/>
      <c r="N1" s="33"/>
      <c r="O1" s="33"/>
      <c r="P1" s="33"/>
      <c r="Q1" s="33"/>
      <c r="R1" s="33"/>
    </row>
    <row r="2" spans="2:18" ht="21" x14ac:dyDescent="0.35">
      <c r="B2" s="1085" t="str">
        <f>param_bovins!A5</f>
        <v>Vache Laitière</v>
      </c>
      <c r="C2" s="1086"/>
      <c r="D2" s="1087"/>
      <c r="E2" s="580"/>
      <c r="F2" s="581" t="s">
        <v>43</v>
      </c>
      <c r="G2" s="581" t="s">
        <v>29</v>
      </c>
      <c r="H2" s="581" t="s">
        <v>30</v>
      </c>
      <c r="I2" s="581" t="s">
        <v>31</v>
      </c>
      <c r="J2" s="581" t="s">
        <v>32</v>
      </c>
      <c r="K2" s="581" t="s">
        <v>33</v>
      </c>
      <c r="L2" s="581" t="s">
        <v>34</v>
      </c>
      <c r="M2" s="581" t="s">
        <v>35</v>
      </c>
      <c r="N2" s="581" t="s">
        <v>36</v>
      </c>
      <c r="O2" s="581" t="s">
        <v>37</v>
      </c>
      <c r="P2" s="581" t="s">
        <v>38</v>
      </c>
      <c r="Q2" s="581" t="s">
        <v>39</v>
      </c>
      <c r="R2" s="582" t="s">
        <v>40</v>
      </c>
    </row>
    <row r="3" spans="2:18" ht="15.75" x14ac:dyDescent="0.25">
      <c r="B3" s="869" t="s">
        <v>15</v>
      </c>
      <c r="C3" s="870" t="s">
        <v>18</v>
      </c>
      <c r="D3" s="839">
        <v>8200</v>
      </c>
      <c r="E3" s="281"/>
      <c r="F3" s="831" t="s">
        <v>41</v>
      </c>
      <c r="G3" s="840">
        <v>24</v>
      </c>
      <c r="H3" s="840">
        <v>24</v>
      </c>
      <c r="I3" s="840">
        <v>12</v>
      </c>
      <c r="J3" s="840">
        <v>6</v>
      </c>
      <c r="K3" s="840">
        <v>6</v>
      </c>
      <c r="L3" s="840">
        <v>6</v>
      </c>
      <c r="M3" s="840">
        <v>6</v>
      </c>
      <c r="N3" s="840">
        <v>7</v>
      </c>
      <c r="O3" s="840">
        <v>10</v>
      </c>
      <c r="P3" s="840">
        <v>10</v>
      </c>
      <c r="Q3" s="840">
        <v>24</v>
      </c>
      <c r="R3" s="841">
        <v>24</v>
      </c>
    </row>
    <row r="4" spans="2:18" ht="15.75" x14ac:dyDescent="0.25">
      <c r="B4" s="869" t="s">
        <v>46</v>
      </c>
      <c r="C4" s="870" t="s">
        <v>19</v>
      </c>
      <c r="D4" s="839">
        <v>33.4</v>
      </c>
      <c r="E4" s="281"/>
      <c r="F4" s="1069" t="s">
        <v>48</v>
      </c>
      <c r="G4" s="1070"/>
      <c r="H4" s="1070"/>
      <c r="I4" s="1070"/>
      <c r="J4" s="1070"/>
      <c r="K4" s="1070"/>
      <c r="L4" s="1070"/>
      <c r="M4" s="1070"/>
      <c r="N4" s="1070"/>
      <c r="O4" s="1070"/>
      <c r="P4" s="1070"/>
      <c r="Q4" s="1070"/>
      <c r="R4" s="1071"/>
    </row>
    <row r="5" spans="2:18" ht="15.75" x14ac:dyDescent="0.25">
      <c r="B5" s="869" t="s">
        <v>47</v>
      </c>
      <c r="C5" s="870" t="s">
        <v>19</v>
      </c>
      <c r="D5" s="839">
        <v>41.6</v>
      </c>
      <c r="E5" s="281"/>
      <c r="F5" s="829" t="str">
        <f>param_bovins!A41</f>
        <v>Herbe pâturée</v>
      </c>
      <c r="G5" s="840">
        <v>0</v>
      </c>
      <c r="H5" s="840">
        <v>0</v>
      </c>
      <c r="I5" s="840">
        <v>7</v>
      </c>
      <c r="J5" s="840">
        <v>8</v>
      </c>
      <c r="K5" s="840">
        <v>8</v>
      </c>
      <c r="L5" s="840">
        <v>7</v>
      </c>
      <c r="M5" s="840">
        <v>4.5</v>
      </c>
      <c r="N5" s="840">
        <v>4</v>
      </c>
      <c r="O5" s="840">
        <v>3</v>
      </c>
      <c r="P5" s="840">
        <v>3</v>
      </c>
      <c r="Q5" s="840">
        <v>0</v>
      </c>
      <c r="R5" s="841">
        <v>0</v>
      </c>
    </row>
    <row r="6" spans="2:18" ht="15.75" x14ac:dyDescent="0.25">
      <c r="B6" s="869" t="s">
        <v>16</v>
      </c>
      <c r="C6" s="870" t="s">
        <v>17</v>
      </c>
      <c r="D6" s="839">
        <v>700</v>
      </c>
      <c r="E6" s="281"/>
      <c r="F6" s="829" t="str">
        <f>param_bovins!A42</f>
        <v>Herbe conservée (ensilage d'herbe ou foin)</v>
      </c>
      <c r="G6" s="840">
        <v>4</v>
      </c>
      <c r="H6" s="840">
        <v>4</v>
      </c>
      <c r="I6" s="840">
        <v>0.5</v>
      </c>
      <c r="J6" s="840">
        <v>0.5</v>
      </c>
      <c r="K6" s="840">
        <v>0.5</v>
      </c>
      <c r="L6" s="840">
        <v>0.5</v>
      </c>
      <c r="M6" s="840">
        <v>0.5</v>
      </c>
      <c r="N6" s="840">
        <v>1</v>
      </c>
      <c r="O6" s="840">
        <v>3</v>
      </c>
      <c r="P6" s="840">
        <v>3</v>
      </c>
      <c r="Q6" s="840">
        <v>4</v>
      </c>
      <c r="R6" s="841">
        <v>4</v>
      </c>
    </row>
    <row r="7" spans="2:18" ht="15.75" x14ac:dyDescent="0.25">
      <c r="B7" s="583"/>
      <c r="C7" s="281"/>
      <c r="D7" s="585"/>
      <c r="E7" s="281"/>
      <c r="F7" s="829" t="str">
        <f>param_bovins!A43</f>
        <v>Ensilage maïs</v>
      </c>
      <c r="G7" s="840">
        <v>12</v>
      </c>
      <c r="H7" s="840">
        <v>12</v>
      </c>
      <c r="I7" s="840">
        <v>8.5</v>
      </c>
      <c r="J7" s="840">
        <v>7.5</v>
      </c>
      <c r="K7" s="840">
        <v>7.5</v>
      </c>
      <c r="L7" s="840">
        <v>8.5</v>
      </c>
      <c r="M7" s="840">
        <v>11</v>
      </c>
      <c r="N7" s="840">
        <v>11</v>
      </c>
      <c r="O7" s="840">
        <v>10</v>
      </c>
      <c r="P7" s="840">
        <v>10</v>
      </c>
      <c r="Q7" s="840">
        <v>12</v>
      </c>
      <c r="R7" s="841">
        <v>12</v>
      </c>
    </row>
    <row r="8" spans="2:18" ht="15.75" x14ac:dyDescent="0.25">
      <c r="B8" s="583"/>
      <c r="C8" s="281"/>
      <c r="D8" s="585"/>
      <c r="E8" s="281"/>
      <c r="F8" s="829" t="s">
        <v>26</v>
      </c>
      <c r="G8" s="840">
        <v>3.5</v>
      </c>
      <c r="H8" s="840">
        <v>3.5</v>
      </c>
      <c r="I8" s="840">
        <v>0.7</v>
      </c>
      <c r="J8" s="840">
        <v>0.7</v>
      </c>
      <c r="K8" s="840">
        <v>0.7</v>
      </c>
      <c r="L8" s="840">
        <v>1.4</v>
      </c>
      <c r="M8" s="840">
        <v>2.5</v>
      </c>
      <c r="N8" s="840">
        <v>2.5</v>
      </c>
      <c r="O8" s="840">
        <v>2.7</v>
      </c>
      <c r="P8" s="840">
        <v>2.7</v>
      </c>
      <c r="Q8" s="840">
        <v>3.6</v>
      </c>
      <c r="R8" s="841">
        <v>3.6</v>
      </c>
    </row>
    <row r="9" spans="2:18" ht="16.5" thickBot="1" x14ac:dyDescent="0.3">
      <c r="B9" s="579"/>
      <c r="C9" s="584"/>
      <c r="D9" s="586"/>
      <c r="E9" s="584"/>
      <c r="F9" s="830" t="s">
        <v>27</v>
      </c>
      <c r="G9" s="842">
        <v>2.9</v>
      </c>
      <c r="H9" s="842">
        <v>2.9</v>
      </c>
      <c r="I9" s="842">
        <v>2.2000000000000002</v>
      </c>
      <c r="J9" s="842">
        <v>2.2000000000000002</v>
      </c>
      <c r="K9" s="842">
        <v>2.2000000000000002</v>
      </c>
      <c r="L9" s="842">
        <v>2.2000000000000002</v>
      </c>
      <c r="M9" s="842">
        <v>2.2999999999999998</v>
      </c>
      <c r="N9" s="842">
        <v>2.2999999999999998</v>
      </c>
      <c r="O9" s="842">
        <v>2.2999999999999998</v>
      </c>
      <c r="P9" s="842">
        <v>2.9</v>
      </c>
      <c r="Q9" s="842">
        <v>2.9</v>
      </c>
      <c r="R9" s="843">
        <v>2.9</v>
      </c>
    </row>
    <row r="10" spans="2:18" ht="15.75" thickBot="1" x14ac:dyDescent="0.3">
      <c r="B10" s="33"/>
      <c r="C10" s="33"/>
      <c r="D10" s="33"/>
      <c r="E10" s="281"/>
      <c r="F10" s="598"/>
      <c r="G10" s="33"/>
      <c r="H10" s="33"/>
      <c r="I10" s="33"/>
      <c r="J10" s="33"/>
      <c r="K10" s="33"/>
      <c r="L10" s="33"/>
      <c r="M10" s="33"/>
      <c r="N10" s="33"/>
      <c r="O10" s="33"/>
      <c r="P10" s="33"/>
      <c r="Q10" s="33"/>
      <c r="R10" s="33"/>
    </row>
    <row r="11" spans="2:18" ht="21" x14ac:dyDescent="0.35">
      <c r="B11" s="1088" t="str">
        <f>param_bovins!A6</f>
        <v>Vache allaitante avec son veau</v>
      </c>
      <c r="C11" s="1089"/>
      <c r="D11" s="1090"/>
      <c r="E11" s="580"/>
      <c r="F11" s="588" t="s">
        <v>43</v>
      </c>
      <c r="G11" s="588" t="s">
        <v>29</v>
      </c>
      <c r="H11" s="588" t="s">
        <v>30</v>
      </c>
      <c r="I11" s="588" t="s">
        <v>31</v>
      </c>
      <c r="J11" s="588" t="s">
        <v>32</v>
      </c>
      <c r="K11" s="588" t="s">
        <v>33</v>
      </c>
      <c r="L11" s="588" t="s">
        <v>34</v>
      </c>
      <c r="M11" s="588" t="s">
        <v>35</v>
      </c>
      <c r="N11" s="588" t="s">
        <v>36</v>
      </c>
      <c r="O11" s="588" t="s">
        <v>37</v>
      </c>
      <c r="P11" s="588" t="s">
        <v>38</v>
      </c>
      <c r="Q11" s="588" t="s">
        <v>39</v>
      </c>
      <c r="R11" s="589" t="s">
        <v>40</v>
      </c>
    </row>
    <row r="12" spans="2:18" ht="15.75" x14ac:dyDescent="0.25">
      <c r="B12" s="833" t="s">
        <v>24</v>
      </c>
      <c r="C12" s="834" t="s">
        <v>49</v>
      </c>
      <c r="D12" s="835"/>
      <c r="E12" s="281"/>
      <c r="F12" s="832" t="s">
        <v>44</v>
      </c>
      <c r="G12" s="823"/>
      <c r="H12" s="823"/>
      <c r="I12" s="823"/>
      <c r="J12" s="823"/>
      <c r="K12" s="823"/>
      <c r="L12" s="823"/>
      <c r="M12" s="823"/>
      <c r="N12" s="823"/>
      <c r="O12" s="823"/>
      <c r="P12" s="823"/>
      <c r="Q12" s="823"/>
      <c r="R12" s="824"/>
    </row>
    <row r="13" spans="2:18" ht="16.5" thickBot="1" x14ac:dyDescent="0.3">
      <c r="B13" s="836" t="s">
        <v>16</v>
      </c>
      <c r="C13" s="837" t="s">
        <v>17</v>
      </c>
      <c r="D13" s="838"/>
      <c r="E13" s="584"/>
      <c r="F13" s="599" t="s">
        <v>45</v>
      </c>
      <c r="G13" s="827"/>
      <c r="H13" s="825"/>
      <c r="I13" s="825"/>
      <c r="J13" s="825"/>
      <c r="K13" s="825"/>
      <c r="L13" s="825"/>
      <c r="M13" s="825"/>
      <c r="N13" s="825"/>
      <c r="O13" s="825"/>
      <c r="P13" s="825"/>
      <c r="Q13" s="825"/>
      <c r="R13" s="826"/>
    </row>
    <row r="14" spans="2:18" x14ac:dyDescent="0.25">
      <c r="B14" s="281"/>
      <c r="C14" s="281"/>
      <c r="D14" s="587"/>
      <c r="E14" s="281"/>
      <c r="F14" s="600"/>
      <c r="G14" s="281"/>
      <c r="H14" s="281"/>
      <c r="I14" s="281"/>
      <c r="J14" s="281"/>
      <c r="K14" s="281"/>
      <c r="L14" s="281"/>
      <c r="M14" s="281"/>
      <c r="N14" s="281"/>
      <c r="O14" s="281"/>
      <c r="P14" s="281"/>
      <c r="Q14" s="281"/>
      <c r="R14" s="281"/>
    </row>
    <row r="15" spans="2:18" ht="15.75" thickBot="1" x14ac:dyDescent="0.3">
      <c r="B15" s="33"/>
      <c r="C15" s="33"/>
      <c r="D15" s="33"/>
      <c r="E15" s="281"/>
      <c r="F15" s="598"/>
      <c r="G15" s="33"/>
      <c r="H15" s="33"/>
      <c r="I15" s="33"/>
      <c r="J15" s="33"/>
      <c r="K15" s="33"/>
      <c r="L15" s="33"/>
      <c r="M15" s="33"/>
      <c r="N15" s="33"/>
      <c r="O15" s="33"/>
      <c r="P15" s="33"/>
      <c r="Q15" s="33"/>
      <c r="R15" s="33"/>
    </row>
    <row r="16" spans="2:18" ht="21" x14ac:dyDescent="0.35">
      <c r="B16" s="1097" t="str">
        <f>param_bovins!A7</f>
        <v>Génisse (6 mois-1 an)</v>
      </c>
      <c r="C16" s="1098"/>
      <c r="D16" s="1099"/>
      <c r="E16" s="580"/>
      <c r="F16" s="590" t="s">
        <v>43</v>
      </c>
      <c r="G16" s="590" t="s">
        <v>29</v>
      </c>
      <c r="H16" s="590" t="s">
        <v>30</v>
      </c>
      <c r="I16" s="590" t="s">
        <v>31</v>
      </c>
      <c r="J16" s="590" t="s">
        <v>32</v>
      </c>
      <c r="K16" s="590" t="s">
        <v>33</v>
      </c>
      <c r="L16" s="590" t="s">
        <v>34</v>
      </c>
      <c r="M16" s="590" t="s">
        <v>35</v>
      </c>
      <c r="N16" s="590" t="s">
        <v>36</v>
      </c>
      <c r="O16" s="590" t="s">
        <v>37</v>
      </c>
      <c r="P16" s="590" t="s">
        <v>38</v>
      </c>
      <c r="Q16" s="590" t="s">
        <v>39</v>
      </c>
      <c r="R16" s="591" t="s">
        <v>40</v>
      </c>
    </row>
    <row r="17" spans="2:18" ht="15.75" x14ac:dyDescent="0.25">
      <c r="B17" s="833" t="s">
        <v>16</v>
      </c>
      <c r="C17" s="828" t="s">
        <v>17</v>
      </c>
      <c r="D17" s="847">
        <v>250</v>
      </c>
      <c r="E17" s="281"/>
      <c r="F17" s="832" t="s">
        <v>44</v>
      </c>
      <c r="G17" s="840">
        <v>30.5</v>
      </c>
      <c r="H17" s="840">
        <v>30.5</v>
      </c>
      <c r="I17" s="840">
        <v>0</v>
      </c>
      <c r="J17" s="840">
        <v>0</v>
      </c>
      <c r="K17" s="840">
        <v>0</v>
      </c>
      <c r="L17" s="840">
        <v>0</v>
      </c>
      <c r="M17" s="840"/>
      <c r="N17" s="840"/>
      <c r="O17" s="840"/>
      <c r="P17" s="840"/>
      <c r="Q17" s="840"/>
      <c r="R17" s="841"/>
    </row>
    <row r="18" spans="2:18" ht="16.5" thickBot="1" x14ac:dyDescent="0.3">
      <c r="B18" s="848"/>
      <c r="C18" s="849"/>
      <c r="D18" s="850"/>
      <c r="E18" s="584"/>
      <c r="F18" s="844" t="s">
        <v>45</v>
      </c>
      <c r="G18" s="845" t="s">
        <v>68</v>
      </c>
      <c r="H18" s="845" t="s">
        <v>68</v>
      </c>
      <c r="I18" s="845" t="s">
        <v>67</v>
      </c>
      <c r="J18" s="845" t="s">
        <v>67</v>
      </c>
      <c r="K18" s="845" t="s">
        <v>67</v>
      </c>
      <c r="L18" s="845" t="s">
        <v>67</v>
      </c>
      <c r="M18" s="845"/>
      <c r="N18" s="845"/>
      <c r="O18" s="845"/>
      <c r="P18" s="845"/>
      <c r="Q18" s="845"/>
      <c r="R18" s="846"/>
    </row>
    <row r="19" spans="2:18" ht="15.75" thickBot="1" x14ac:dyDescent="0.3">
      <c r="B19" s="281"/>
      <c r="C19" s="281"/>
      <c r="D19" s="281"/>
      <c r="E19" s="281"/>
      <c r="F19" s="598"/>
      <c r="G19" s="33"/>
      <c r="H19" s="33"/>
      <c r="I19" s="33"/>
      <c r="J19" s="33"/>
      <c r="K19" s="33"/>
      <c r="L19" s="33"/>
      <c r="M19" s="33"/>
      <c r="N19" s="33"/>
      <c r="O19" s="33"/>
      <c r="P19" s="33"/>
      <c r="Q19" s="33"/>
      <c r="R19" s="33"/>
    </row>
    <row r="20" spans="2:18" ht="21" x14ac:dyDescent="0.35">
      <c r="B20" s="1094" t="str">
        <f>param_bovins!A8</f>
        <v>Génisse (1 - 2 ans)</v>
      </c>
      <c r="C20" s="1095"/>
      <c r="D20" s="1096"/>
      <c r="E20" s="580"/>
      <c r="F20" s="592" t="s">
        <v>43</v>
      </c>
      <c r="G20" s="592" t="s">
        <v>29</v>
      </c>
      <c r="H20" s="592" t="s">
        <v>30</v>
      </c>
      <c r="I20" s="592" t="s">
        <v>31</v>
      </c>
      <c r="J20" s="592" t="s">
        <v>32</v>
      </c>
      <c r="K20" s="592" t="s">
        <v>33</v>
      </c>
      <c r="L20" s="592" t="s">
        <v>34</v>
      </c>
      <c r="M20" s="592" t="s">
        <v>35</v>
      </c>
      <c r="N20" s="592" t="s">
        <v>36</v>
      </c>
      <c r="O20" s="592" t="s">
        <v>37</v>
      </c>
      <c r="P20" s="592" t="s">
        <v>38</v>
      </c>
      <c r="Q20" s="592" t="s">
        <v>39</v>
      </c>
      <c r="R20" s="593" t="s">
        <v>40</v>
      </c>
    </row>
    <row r="21" spans="2:18" ht="15.75" x14ac:dyDescent="0.25">
      <c r="B21" s="833" t="s">
        <v>16</v>
      </c>
      <c r="C21" s="828" t="s">
        <v>17</v>
      </c>
      <c r="D21" s="847">
        <v>500</v>
      </c>
      <c r="E21" s="281"/>
      <c r="F21" s="832" t="s">
        <v>44</v>
      </c>
      <c r="G21" s="840">
        <v>30.5</v>
      </c>
      <c r="H21" s="840">
        <v>30.5</v>
      </c>
      <c r="I21" s="840">
        <v>30.5</v>
      </c>
      <c r="J21" s="840">
        <v>0</v>
      </c>
      <c r="K21" s="840">
        <v>0</v>
      </c>
      <c r="L21" s="840">
        <v>0</v>
      </c>
      <c r="M21" s="840">
        <v>0</v>
      </c>
      <c r="N21" s="840">
        <v>0</v>
      </c>
      <c r="O21" s="840">
        <v>0</v>
      </c>
      <c r="P21" s="840">
        <v>30.5</v>
      </c>
      <c r="Q21" s="840">
        <v>30.5</v>
      </c>
      <c r="R21" s="841">
        <v>30.5</v>
      </c>
    </row>
    <row r="22" spans="2:18" ht="16.5" thickBot="1" x14ac:dyDescent="0.3">
      <c r="B22" s="848"/>
      <c r="C22" s="849"/>
      <c r="D22" s="850"/>
      <c r="E22" s="584"/>
      <c r="F22" s="844" t="s">
        <v>45</v>
      </c>
      <c r="G22" s="845" t="s">
        <v>69</v>
      </c>
      <c r="H22" s="845" t="s">
        <v>69</v>
      </c>
      <c r="I22" s="845" t="s">
        <v>69</v>
      </c>
      <c r="J22" s="845" t="s">
        <v>67</v>
      </c>
      <c r="K22" s="845" t="s">
        <v>67</v>
      </c>
      <c r="L22" s="845" t="s">
        <v>67</v>
      </c>
      <c r="M22" s="845" t="s">
        <v>68</v>
      </c>
      <c r="N22" s="845" t="s">
        <v>68</v>
      </c>
      <c r="O22" s="845" t="s">
        <v>68</v>
      </c>
      <c r="P22" s="845" t="s">
        <v>69</v>
      </c>
      <c r="Q22" s="845" t="s">
        <v>69</v>
      </c>
      <c r="R22" s="846" t="s">
        <v>69</v>
      </c>
    </row>
    <row r="23" spans="2:18" ht="15.75" thickBot="1" x14ac:dyDescent="0.3">
      <c r="B23" s="281"/>
      <c r="C23" s="281"/>
      <c r="D23" s="281"/>
      <c r="E23" s="281"/>
      <c r="F23" s="598"/>
      <c r="G23" s="33"/>
      <c r="H23" s="33"/>
      <c r="I23" s="33"/>
      <c r="J23" s="33"/>
      <c r="K23" s="33"/>
      <c r="L23" s="33"/>
      <c r="M23" s="33"/>
      <c r="N23" s="33"/>
      <c r="O23" s="33"/>
      <c r="P23" s="33"/>
      <c r="Q23" s="33"/>
      <c r="R23" s="33"/>
    </row>
    <row r="24" spans="2:18" ht="21" x14ac:dyDescent="0.35">
      <c r="B24" s="1091" t="str">
        <f>param_bovins!A9</f>
        <v>Génisse (&gt; 2 ans)</v>
      </c>
      <c r="C24" s="1092"/>
      <c r="D24" s="1093"/>
      <c r="E24" s="580"/>
      <c r="F24" s="594" t="s">
        <v>43</v>
      </c>
      <c r="G24" s="594" t="s">
        <v>29</v>
      </c>
      <c r="H24" s="594" t="s">
        <v>30</v>
      </c>
      <c r="I24" s="594" t="s">
        <v>31</v>
      </c>
      <c r="J24" s="594" t="s">
        <v>32</v>
      </c>
      <c r="K24" s="594" t="s">
        <v>33</v>
      </c>
      <c r="L24" s="594" t="s">
        <v>34</v>
      </c>
      <c r="M24" s="594" t="s">
        <v>35</v>
      </c>
      <c r="N24" s="594" t="s">
        <v>36</v>
      </c>
      <c r="O24" s="594" t="s">
        <v>37</v>
      </c>
      <c r="P24" s="594" t="s">
        <v>38</v>
      </c>
      <c r="Q24" s="594" t="s">
        <v>39</v>
      </c>
      <c r="R24" s="595" t="s">
        <v>40</v>
      </c>
    </row>
    <row r="25" spans="2:18" ht="15.75" x14ac:dyDescent="0.25">
      <c r="B25" s="833" t="s">
        <v>16</v>
      </c>
      <c r="C25" s="828" t="s">
        <v>17</v>
      </c>
      <c r="D25" s="847">
        <v>600</v>
      </c>
      <c r="E25" s="281"/>
      <c r="F25" s="832" t="s">
        <v>44</v>
      </c>
      <c r="G25" s="840">
        <v>30.5</v>
      </c>
      <c r="H25" s="840">
        <v>30.5</v>
      </c>
      <c r="I25" s="840">
        <v>30.5</v>
      </c>
      <c r="J25" s="840">
        <v>30.5</v>
      </c>
      <c r="K25" s="840"/>
      <c r="L25" s="840"/>
      <c r="M25" s="840"/>
      <c r="N25" s="840"/>
      <c r="O25" s="840"/>
      <c r="P25" s="840"/>
      <c r="Q25" s="840"/>
      <c r="R25" s="841"/>
    </row>
    <row r="26" spans="2:18" ht="16.5" thickBot="1" x14ac:dyDescent="0.3">
      <c r="B26" s="848"/>
      <c r="C26" s="849"/>
      <c r="D26" s="850"/>
      <c r="E26" s="584"/>
      <c r="F26" s="844" t="s">
        <v>45</v>
      </c>
      <c r="G26" s="845" t="s">
        <v>69</v>
      </c>
      <c r="H26" s="845" t="s">
        <v>69</v>
      </c>
      <c r="I26" s="845" t="s">
        <v>69</v>
      </c>
      <c r="J26" s="845" t="s">
        <v>69</v>
      </c>
      <c r="K26" s="845"/>
      <c r="L26" s="845"/>
      <c r="M26" s="845"/>
      <c r="N26" s="845"/>
      <c r="O26" s="845"/>
      <c r="P26" s="845"/>
      <c r="Q26" s="845"/>
      <c r="R26" s="846"/>
    </row>
    <row r="27" spans="2:18" x14ac:dyDescent="0.25">
      <c r="B27" s="281"/>
      <c r="C27" s="281"/>
      <c r="D27" s="281"/>
      <c r="E27" s="281"/>
      <c r="F27" s="598"/>
      <c r="G27" s="33"/>
      <c r="H27" s="33"/>
      <c r="I27" s="33"/>
      <c r="J27" s="33"/>
      <c r="K27" s="33"/>
      <c r="L27" s="33"/>
      <c r="M27" s="33"/>
      <c r="N27" s="33"/>
      <c r="O27" s="33"/>
      <c r="P27" s="33"/>
      <c r="Q27" s="33"/>
      <c r="R27" s="33"/>
    </row>
    <row r="28" spans="2:18" ht="15.75" thickBot="1" x14ac:dyDescent="0.3">
      <c r="B28" s="33"/>
      <c r="C28" s="33"/>
      <c r="D28" s="33"/>
      <c r="E28" s="281"/>
      <c r="F28" s="598"/>
      <c r="G28" s="33"/>
      <c r="H28" s="33"/>
      <c r="I28" s="33"/>
      <c r="J28" s="33"/>
      <c r="K28" s="33"/>
      <c r="L28" s="33"/>
      <c r="M28" s="33"/>
      <c r="N28" s="33"/>
      <c r="O28" s="33"/>
      <c r="P28" s="33"/>
      <c r="Q28" s="33"/>
      <c r="R28" s="33"/>
    </row>
    <row r="29" spans="2:18" ht="21" x14ac:dyDescent="0.35">
      <c r="B29" s="1082" t="str">
        <f>param_bovins!A10</f>
        <v>Bovin à l'engrais (0 - 1 an)</v>
      </c>
      <c r="C29" s="1083"/>
      <c r="D29" s="1084"/>
      <c r="E29" s="580"/>
      <c r="F29" s="596" t="s">
        <v>43</v>
      </c>
      <c r="G29" s="596" t="s">
        <v>29</v>
      </c>
      <c r="H29" s="596" t="s">
        <v>30</v>
      </c>
      <c r="I29" s="596" t="s">
        <v>31</v>
      </c>
      <c r="J29" s="596" t="s">
        <v>32</v>
      </c>
      <c r="K29" s="596" t="s">
        <v>33</v>
      </c>
      <c r="L29" s="596" t="s">
        <v>34</v>
      </c>
      <c r="M29" s="596" t="s">
        <v>35</v>
      </c>
      <c r="N29" s="596" t="s">
        <v>36</v>
      </c>
      <c r="O29" s="596" t="s">
        <v>37</v>
      </c>
      <c r="P29" s="596" t="s">
        <v>38</v>
      </c>
      <c r="Q29" s="596" t="s">
        <v>39</v>
      </c>
      <c r="R29" s="597" t="s">
        <v>40</v>
      </c>
    </row>
    <row r="30" spans="2:18" ht="15.75" x14ac:dyDescent="0.25">
      <c r="B30" s="833" t="s">
        <v>16</v>
      </c>
      <c r="C30" s="828" t="s">
        <v>17</v>
      </c>
      <c r="D30" s="847"/>
      <c r="E30" s="281"/>
      <c r="F30" s="832" t="s">
        <v>44</v>
      </c>
      <c r="G30" s="840"/>
      <c r="H30" s="840"/>
      <c r="I30" s="840"/>
      <c r="J30" s="840"/>
      <c r="K30" s="840"/>
      <c r="L30" s="840"/>
      <c r="M30" s="840"/>
      <c r="N30" s="840"/>
      <c r="O30" s="840"/>
      <c r="P30" s="840"/>
      <c r="Q30" s="840"/>
      <c r="R30" s="841"/>
    </row>
    <row r="31" spans="2:18" ht="16.5" thickBot="1" x14ac:dyDescent="0.3">
      <c r="B31" s="848"/>
      <c r="C31" s="849"/>
      <c r="D31" s="850"/>
      <c r="E31" s="584"/>
      <c r="F31" s="844" t="s">
        <v>45</v>
      </c>
      <c r="G31" s="845"/>
      <c r="H31" s="845"/>
      <c r="I31" s="845"/>
      <c r="J31" s="845"/>
      <c r="K31" s="845"/>
      <c r="L31" s="845"/>
      <c r="M31" s="845"/>
      <c r="N31" s="845"/>
      <c r="O31" s="845"/>
      <c r="P31" s="845"/>
      <c r="Q31" s="845"/>
      <c r="R31" s="846"/>
    </row>
    <row r="32" spans="2:18" ht="15.75" thickBot="1" x14ac:dyDescent="0.3">
      <c r="B32" s="33"/>
      <c r="C32" s="33"/>
      <c r="D32" s="33"/>
      <c r="E32" s="281"/>
      <c r="F32" s="598"/>
      <c r="G32" s="33"/>
      <c r="H32" s="33"/>
      <c r="I32" s="33"/>
      <c r="J32" s="33"/>
      <c r="K32" s="33"/>
      <c r="L32" s="33"/>
      <c r="M32" s="33"/>
      <c r="N32" s="33"/>
      <c r="O32" s="33"/>
      <c r="P32" s="33"/>
      <c r="Q32" s="33"/>
      <c r="R32" s="33"/>
    </row>
    <row r="33" spans="2:18" ht="21" x14ac:dyDescent="0.35">
      <c r="B33" s="1082" t="str">
        <f>param_bovins!A11</f>
        <v>Bovin à l'engrais (1 - 2 ans)</v>
      </c>
      <c r="C33" s="1083"/>
      <c r="D33" s="1084"/>
      <c r="E33" s="580"/>
      <c r="F33" s="596" t="s">
        <v>43</v>
      </c>
      <c r="G33" s="596" t="s">
        <v>29</v>
      </c>
      <c r="H33" s="596" t="s">
        <v>30</v>
      </c>
      <c r="I33" s="596" t="s">
        <v>31</v>
      </c>
      <c r="J33" s="596" t="s">
        <v>32</v>
      </c>
      <c r="K33" s="596" t="s">
        <v>33</v>
      </c>
      <c r="L33" s="596" t="s">
        <v>34</v>
      </c>
      <c r="M33" s="596" t="s">
        <v>35</v>
      </c>
      <c r="N33" s="596" t="s">
        <v>36</v>
      </c>
      <c r="O33" s="596" t="s">
        <v>37</v>
      </c>
      <c r="P33" s="596" t="s">
        <v>38</v>
      </c>
      <c r="Q33" s="596" t="s">
        <v>39</v>
      </c>
      <c r="R33" s="597" t="s">
        <v>40</v>
      </c>
    </row>
    <row r="34" spans="2:18" ht="15.75" x14ac:dyDescent="0.25">
      <c r="B34" s="833" t="s">
        <v>16</v>
      </c>
      <c r="C34" s="828" t="s">
        <v>17</v>
      </c>
      <c r="D34" s="847"/>
      <c r="E34" s="281"/>
      <c r="F34" s="832" t="s">
        <v>44</v>
      </c>
      <c r="G34" s="840"/>
      <c r="H34" s="840"/>
      <c r="I34" s="840"/>
      <c r="J34" s="840"/>
      <c r="K34" s="840"/>
      <c r="L34" s="840"/>
      <c r="M34" s="840"/>
      <c r="N34" s="840"/>
      <c r="O34" s="840"/>
      <c r="P34" s="840"/>
      <c r="Q34" s="840"/>
      <c r="R34" s="841"/>
    </row>
    <row r="35" spans="2:18" ht="16.5" thickBot="1" x14ac:dyDescent="0.3">
      <c r="B35" s="848"/>
      <c r="C35" s="849"/>
      <c r="D35" s="850"/>
      <c r="E35" s="584"/>
      <c r="F35" s="844" t="s">
        <v>45</v>
      </c>
      <c r="G35" s="845"/>
      <c r="H35" s="845"/>
      <c r="I35" s="845"/>
      <c r="J35" s="845"/>
      <c r="K35" s="845"/>
      <c r="L35" s="845"/>
      <c r="M35" s="845"/>
      <c r="N35" s="845"/>
      <c r="O35" s="845"/>
      <c r="P35" s="845"/>
      <c r="Q35" s="845"/>
      <c r="R35" s="846"/>
    </row>
    <row r="36" spans="2:18" ht="15.75" thickBot="1" x14ac:dyDescent="0.3">
      <c r="B36" s="33"/>
      <c r="C36" s="33"/>
      <c r="D36" s="33"/>
      <c r="E36" s="281"/>
      <c r="F36" s="598"/>
      <c r="G36" s="33"/>
      <c r="H36" s="33"/>
      <c r="I36" s="33"/>
      <c r="J36" s="33"/>
      <c r="K36" s="33"/>
      <c r="L36" s="33"/>
      <c r="M36" s="33"/>
      <c r="N36" s="33"/>
      <c r="O36" s="33"/>
      <c r="P36" s="33"/>
      <c r="Q36" s="33"/>
      <c r="R36" s="33"/>
    </row>
    <row r="37" spans="2:18" ht="21" x14ac:dyDescent="0.35">
      <c r="B37" s="1082" t="str">
        <f>param_bovins!A12</f>
        <v>Bovin à l'engrais (&gt; 2 ans)</v>
      </c>
      <c r="C37" s="1083"/>
      <c r="D37" s="1084"/>
      <c r="E37" s="580"/>
      <c r="F37" s="596" t="s">
        <v>43</v>
      </c>
      <c r="G37" s="596" t="s">
        <v>29</v>
      </c>
      <c r="H37" s="596" t="s">
        <v>30</v>
      </c>
      <c r="I37" s="596" t="s">
        <v>31</v>
      </c>
      <c r="J37" s="596" t="s">
        <v>32</v>
      </c>
      <c r="K37" s="596" t="s">
        <v>33</v>
      </c>
      <c r="L37" s="596" t="s">
        <v>34</v>
      </c>
      <c r="M37" s="596" t="s">
        <v>35</v>
      </c>
      <c r="N37" s="596" t="s">
        <v>36</v>
      </c>
      <c r="O37" s="596" t="s">
        <v>37</v>
      </c>
      <c r="P37" s="596" t="s">
        <v>38</v>
      </c>
      <c r="Q37" s="596" t="s">
        <v>39</v>
      </c>
      <c r="R37" s="597" t="s">
        <v>40</v>
      </c>
    </row>
    <row r="38" spans="2:18" ht="15.75" x14ac:dyDescent="0.25">
      <c r="B38" s="833" t="s">
        <v>16</v>
      </c>
      <c r="C38" s="828" t="s">
        <v>17</v>
      </c>
      <c r="D38" s="847"/>
      <c r="E38" s="281"/>
      <c r="F38" s="832" t="s">
        <v>44</v>
      </c>
      <c r="G38" s="840"/>
      <c r="H38" s="840"/>
      <c r="I38" s="840"/>
      <c r="J38" s="840"/>
      <c r="K38" s="840"/>
      <c r="L38" s="840"/>
      <c r="M38" s="840"/>
      <c r="N38" s="840"/>
      <c r="O38" s="840"/>
      <c r="P38" s="840"/>
      <c r="Q38" s="840"/>
      <c r="R38" s="841"/>
    </row>
    <row r="39" spans="2:18" ht="16.5" thickBot="1" x14ac:dyDescent="0.3">
      <c r="B39" s="848"/>
      <c r="C39" s="849"/>
      <c r="D39" s="850"/>
      <c r="E39" s="584"/>
      <c r="F39" s="844" t="s">
        <v>45</v>
      </c>
      <c r="G39" s="845"/>
      <c r="H39" s="845"/>
      <c r="I39" s="845"/>
      <c r="J39" s="845"/>
      <c r="K39" s="845"/>
      <c r="L39" s="845"/>
      <c r="M39" s="845"/>
      <c r="N39" s="845"/>
      <c r="O39" s="845"/>
      <c r="P39" s="845"/>
      <c r="Q39" s="845"/>
      <c r="R39" s="846"/>
    </row>
    <row r="40" spans="2:18" ht="15" customHeight="1" x14ac:dyDescent="0.25">
      <c r="B40" s="33"/>
      <c r="C40" s="33"/>
      <c r="D40" s="33"/>
      <c r="E40" s="281"/>
      <c r="F40" s="33"/>
      <c r="G40" s="33"/>
      <c r="H40" s="33"/>
      <c r="I40" s="33"/>
      <c r="J40" s="33"/>
      <c r="K40" s="33"/>
      <c r="L40" s="33"/>
      <c r="M40" s="33"/>
      <c r="N40" s="33"/>
      <c r="O40" s="33"/>
      <c r="P40" s="33"/>
      <c r="Q40" s="33"/>
      <c r="R40" s="33"/>
    </row>
    <row r="41" spans="2:18" ht="24.75" hidden="1" customHeight="1" x14ac:dyDescent="0.25">
      <c r="B41" s="510" t="s">
        <v>991</v>
      </c>
      <c r="C41" s="33"/>
      <c r="D41" s="33"/>
      <c r="E41" s="281"/>
      <c r="F41" s="33"/>
      <c r="G41" s="171"/>
      <c r="H41" s="171"/>
      <c r="I41" s="33"/>
      <c r="J41" s="33"/>
      <c r="K41" s="33"/>
      <c r="L41" s="33"/>
      <c r="O41" s="33"/>
      <c r="P41" s="33"/>
      <c r="Q41" s="33"/>
      <c r="R41" s="33"/>
    </row>
    <row r="42" spans="2:18" s="554" customFormat="1" hidden="1" x14ac:dyDescent="0.25">
      <c r="C42" s="552"/>
      <c r="D42" s="552"/>
      <c r="E42" s="553"/>
      <c r="I42" s="552"/>
      <c r="J42" s="552"/>
      <c r="K42" s="552"/>
      <c r="L42" s="552"/>
      <c r="M42"/>
      <c r="N42"/>
      <c r="O42" s="552"/>
      <c r="P42" s="552"/>
      <c r="Q42" s="552"/>
      <c r="R42" s="552"/>
    </row>
    <row r="43" spans="2:18" s="554" customFormat="1" hidden="1" x14ac:dyDescent="0.25">
      <c r="B43" s="555" t="s">
        <v>1043</v>
      </c>
      <c r="C43" s="556" t="str">
        <f>'Feuille saisie commune'!F23</f>
        <v>Non</v>
      </c>
      <c r="D43" s="552"/>
      <c r="E43" s="553"/>
      <c r="I43" s="552"/>
      <c r="J43" s="552"/>
      <c r="K43" s="552"/>
      <c r="L43" s="552"/>
      <c r="M43"/>
      <c r="N43"/>
      <c r="O43" s="552"/>
      <c r="P43" s="552"/>
      <c r="Q43" s="552"/>
      <c r="R43" s="552"/>
    </row>
    <row r="44" spans="2:18" hidden="1" x14ac:dyDescent="0.25">
      <c r="B44" s="9" t="s">
        <v>1042</v>
      </c>
      <c r="C44" s="308" t="str">
        <f>'Feuille saisie commune'!F24</f>
        <v>Non</v>
      </c>
      <c r="D44" s="33"/>
      <c r="E44" s="281"/>
      <c r="I44" s="33"/>
      <c r="J44" s="33"/>
      <c r="K44" s="33"/>
      <c r="L44" s="33"/>
      <c r="O44" s="33"/>
      <c r="P44" s="33"/>
      <c r="Q44" s="33"/>
      <c r="R44" s="33"/>
    </row>
    <row r="45" spans="2:18" ht="15.75" thickBot="1" x14ac:dyDescent="0.3">
      <c r="B45" s="9"/>
      <c r="C45" s="281"/>
      <c r="D45" s="33"/>
      <c r="E45" s="281"/>
      <c r="I45" s="33"/>
      <c r="J45" s="33"/>
      <c r="K45" s="33"/>
      <c r="L45" s="33"/>
      <c r="O45" s="33"/>
      <c r="P45" s="33"/>
      <c r="Q45" s="33"/>
      <c r="R45" s="33"/>
    </row>
    <row r="46" spans="2:18" ht="38.25" customHeight="1" x14ac:dyDescent="0.35">
      <c r="B46" s="1076" t="s">
        <v>367</v>
      </c>
      <c r="C46" s="1077"/>
      <c r="D46" s="33"/>
      <c r="E46" s="281"/>
      <c r="F46" s="1078" t="s">
        <v>715</v>
      </c>
      <c r="G46" s="1079"/>
      <c r="H46" s="861" t="s">
        <v>719</v>
      </c>
      <c r="I46" s="33"/>
      <c r="J46" s="1080" t="s">
        <v>371</v>
      </c>
      <c r="K46" s="1081"/>
      <c r="L46" s="33"/>
      <c r="O46" s="33"/>
      <c r="P46" s="33"/>
      <c r="Q46" s="33"/>
      <c r="R46" s="33"/>
    </row>
    <row r="47" spans="2:18" ht="79.5" thickBot="1" x14ac:dyDescent="0.3">
      <c r="B47" s="851" t="s">
        <v>368</v>
      </c>
      <c r="C47" s="852">
        <v>0</v>
      </c>
      <c r="D47" s="33"/>
      <c r="E47" s="281"/>
      <c r="F47" s="1074" t="s">
        <v>714</v>
      </c>
      <c r="G47" s="1075"/>
      <c r="H47" s="859">
        <v>0</v>
      </c>
      <c r="I47" s="33"/>
      <c r="J47" s="862" t="s">
        <v>372</v>
      </c>
      <c r="K47" s="863">
        <f>'Feuille saisie commune'!E6*(param_bovins!B227+param_bovins!B226)*param_bovins!B228/1000</f>
        <v>322.69</v>
      </c>
      <c r="L47" s="33"/>
      <c r="O47" s="33"/>
      <c r="P47" s="33"/>
      <c r="Q47" s="33"/>
      <c r="R47" s="33"/>
    </row>
    <row r="48" spans="2:18" ht="32.25" thickBot="1" x14ac:dyDescent="0.3">
      <c r="B48" s="851" t="s">
        <v>369</v>
      </c>
      <c r="C48" s="852">
        <v>195</v>
      </c>
      <c r="D48" s="33"/>
      <c r="E48" s="281"/>
      <c r="F48" s="1072" t="s">
        <v>771</v>
      </c>
      <c r="G48" s="1073"/>
      <c r="H48" s="860">
        <v>0</v>
      </c>
      <c r="I48" s="33"/>
      <c r="J48" s="33"/>
      <c r="K48" s="33"/>
      <c r="L48" s="33"/>
      <c r="O48" s="33"/>
      <c r="P48" s="33"/>
      <c r="Q48" s="33"/>
      <c r="R48" s="33"/>
    </row>
    <row r="49" spans="2:18" ht="15.75" hidden="1" x14ac:dyDescent="0.25">
      <c r="B49" s="853" t="s">
        <v>438</v>
      </c>
      <c r="C49" s="854">
        <f>IF(C43=param_bovins!A163,0,'Saisie 2_bovins'!C48)</f>
        <v>195</v>
      </c>
      <c r="D49" s="33"/>
      <c r="E49" s="281"/>
      <c r="I49" s="33"/>
      <c r="J49" s="33"/>
      <c r="K49" s="33"/>
      <c r="L49" s="33"/>
      <c r="O49" s="33"/>
      <c r="P49" s="33"/>
      <c r="Q49" s="33"/>
      <c r="R49" s="33"/>
    </row>
    <row r="50" spans="2:18" ht="31.5" x14ac:dyDescent="0.25">
      <c r="B50" s="851" t="s">
        <v>370</v>
      </c>
      <c r="C50" s="852">
        <v>0</v>
      </c>
      <c r="D50" s="33"/>
      <c r="E50" s="281"/>
      <c r="F50" s="33"/>
      <c r="G50" s="171"/>
      <c r="H50" s="171"/>
      <c r="I50" s="33"/>
      <c r="J50" s="33"/>
      <c r="K50" s="33"/>
      <c r="L50" s="33"/>
      <c r="O50" s="33"/>
      <c r="P50" s="33"/>
      <c r="Q50" s="33"/>
      <c r="R50" s="33"/>
    </row>
    <row r="51" spans="2:18" ht="15.75" hidden="1" x14ac:dyDescent="0.25">
      <c r="B51" s="853" t="s">
        <v>438</v>
      </c>
      <c r="C51" s="854">
        <f>IF(C44=param_bovins!A163,0,'Saisie 2_bovins'!C50)</f>
        <v>0</v>
      </c>
      <c r="D51" s="33"/>
      <c r="E51" s="281"/>
      <c r="F51" s="33"/>
      <c r="G51" s="171"/>
      <c r="H51" s="171"/>
      <c r="I51" s="33"/>
      <c r="J51" s="33"/>
      <c r="K51" s="33"/>
      <c r="L51" s="33"/>
      <c r="O51" s="33"/>
      <c r="P51" s="33"/>
      <c r="Q51" s="33"/>
      <c r="R51" s="33"/>
    </row>
    <row r="52" spans="2:18" ht="31.5" x14ac:dyDescent="0.25">
      <c r="B52" s="851" t="s">
        <v>723</v>
      </c>
      <c r="C52" s="855">
        <v>0</v>
      </c>
      <c r="D52" s="33"/>
      <c r="E52" s="281"/>
      <c r="F52" s="33"/>
      <c r="G52" s="171"/>
      <c r="H52" s="171"/>
      <c r="I52" s="33"/>
      <c r="J52" s="33"/>
      <c r="K52" s="33"/>
      <c r="L52" s="33"/>
      <c r="O52" s="33"/>
      <c r="P52" s="33"/>
      <c r="Q52" s="33"/>
      <c r="R52" s="33"/>
    </row>
    <row r="53" spans="2:18" ht="31.5" hidden="1" x14ac:dyDescent="0.25">
      <c r="B53" s="851" t="s">
        <v>721</v>
      </c>
      <c r="C53" s="856" t="str">
        <f>'Feuille saisie commune'!F21</f>
        <v>St Brieuc</v>
      </c>
      <c r="D53" s="510" t="s">
        <v>991</v>
      </c>
      <c r="E53" s="281"/>
      <c r="F53" s="33"/>
      <c r="G53" s="171"/>
      <c r="H53" s="171"/>
      <c r="I53" s="33"/>
      <c r="J53" s="33"/>
      <c r="K53" s="33"/>
      <c r="L53" s="33"/>
      <c r="O53" s="33"/>
      <c r="P53" s="33"/>
      <c r="Q53" s="33"/>
      <c r="R53" s="33"/>
    </row>
    <row r="54" spans="2:18" ht="32.25" thickBot="1" x14ac:dyDescent="0.3">
      <c r="B54" s="857" t="s">
        <v>713</v>
      </c>
      <c r="C54" s="858">
        <f>IF(C53="Abbeville",param_bovins!B197,IF(C53="Agen",param_bovins!B198,IF(C53="Angers",Param_porcs!B283,IF(C53="Bordeaux",param_bovins!B200,IF(C53=" Bourges",param_bovins!B201,IF(C53="Brest",param_bovins!B202,IF(C53="Caen",param_bovins!B203,IF(C53="Clermont-Ferrand",param_bovins!B204,IF(C53="Dijon",param_bovins!B205,IF(C53="Grenoble",param_bovins!B206,IF(C53="Le Mans",param_bovins!B207,IF(C53="Lille",param_bovins!B208,IF(C53="Limoges",param_bovins!B209,IF(C53="Lyon",param_bovins!B210,IF(C53="Montpellier",param_bovins!B211,IF(C53="Nancy",param_bovins!B212,IF(C53="Nantes",param_bovins!B213,IF(C53="Nice",param_bovins!B214,IF(C53="Orléans",param_bovins!B215,IF(C53="Paris",param_bovins!B216,IF(C53="Rennes",param_bovins!B218,IF(C53="St Brieuc",param_bovins!B219,IF(C53="Strasbourg",param_bovins!B220,IF(C53="Toulouse",param_bovins!B221,IF(C53="Tours",param_bovins!B222,0)))))))))))))))))))))))))</f>
        <v>739</v>
      </c>
      <c r="D54" s="33"/>
      <c r="E54" s="281"/>
      <c r="F54" s="33"/>
      <c r="G54" s="171"/>
      <c r="H54" s="171"/>
      <c r="I54" s="33"/>
      <c r="J54" s="33"/>
      <c r="K54" s="33"/>
      <c r="L54" s="33"/>
      <c r="O54" s="33"/>
      <c r="P54" s="33"/>
      <c r="Q54" s="33"/>
      <c r="R54" s="33"/>
    </row>
    <row r="55" spans="2:18" x14ac:dyDescent="0.25">
      <c r="B55" s="33"/>
      <c r="C55" s="33"/>
      <c r="D55" s="33"/>
      <c r="E55" s="281"/>
      <c r="F55" s="33"/>
      <c r="G55" s="171"/>
      <c r="H55" s="171"/>
      <c r="I55" s="33"/>
      <c r="J55" s="33"/>
      <c r="K55" s="33"/>
      <c r="L55" s="33"/>
      <c r="O55" s="33"/>
      <c r="P55" s="33"/>
      <c r="Q55" s="33"/>
      <c r="R55" s="33"/>
    </row>
    <row r="56" spans="2:18" x14ac:dyDescent="0.25">
      <c r="D56" s="33"/>
      <c r="E56" s="281"/>
      <c r="F56" s="33"/>
      <c r="G56" s="171"/>
      <c r="H56" s="171"/>
      <c r="I56" s="33"/>
      <c r="J56" s="33"/>
      <c r="K56" s="33"/>
      <c r="L56" s="33"/>
      <c r="O56" s="33"/>
      <c r="P56" s="33"/>
      <c r="Q56" s="33"/>
      <c r="R56" s="33"/>
    </row>
    <row r="57" spans="2:18" hidden="1" x14ac:dyDescent="0.25">
      <c r="D57" s="33"/>
      <c r="E57" s="281"/>
      <c r="F57" s="33"/>
      <c r="G57" s="171"/>
      <c r="H57" s="171"/>
      <c r="I57" s="33"/>
      <c r="J57" s="33"/>
      <c r="K57" s="33"/>
      <c r="L57" s="33"/>
      <c r="O57" s="33"/>
      <c r="P57" s="33"/>
      <c r="Q57" s="33"/>
      <c r="R57" s="33"/>
    </row>
    <row r="58" spans="2:18" hidden="1" x14ac:dyDescent="0.25">
      <c r="B58" s="33"/>
      <c r="C58" s="33"/>
      <c r="D58" s="33"/>
      <c r="E58" s="281"/>
      <c r="F58" s="33"/>
      <c r="G58" s="171"/>
      <c r="H58" s="171"/>
      <c r="I58" s="33"/>
      <c r="J58" s="33"/>
      <c r="K58" s="33"/>
      <c r="L58" s="33"/>
      <c r="O58" s="33"/>
      <c r="P58" s="33"/>
      <c r="Q58" s="33"/>
      <c r="R58" s="33"/>
    </row>
    <row r="59" spans="2:18" hidden="1" x14ac:dyDescent="0.25">
      <c r="B59" s="33"/>
      <c r="C59" s="33"/>
      <c r="D59" s="33"/>
      <c r="E59" s="281"/>
      <c r="F59" s="33"/>
      <c r="G59" s="171"/>
      <c r="H59" s="171"/>
      <c r="I59" s="33"/>
      <c r="J59" s="33"/>
      <c r="K59" s="33"/>
      <c r="L59" s="33"/>
      <c r="O59" s="33"/>
      <c r="P59" s="33"/>
      <c r="Q59" s="33"/>
      <c r="R59" s="33"/>
    </row>
    <row r="60" spans="2:18" ht="32.25" hidden="1" customHeight="1" x14ac:dyDescent="0.25">
      <c r="E60" s="281"/>
      <c r="F60" s="33"/>
      <c r="G60" s="171"/>
      <c r="H60" s="171"/>
      <c r="I60" s="33"/>
      <c r="J60" s="33"/>
      <c r="K60" s="33"/>
      <c r="L60" s="33"/>
      <c r="O60" s="33"/>
      <c r="P60" s="33"/>
      <c r="Q60" s="33"/>
      <c r="R60" s="33"/>
    </row>
    <row r="61" spans="2:18" hidden="1" x14ac:dyDescent="0.25">
      <c r="E61" s="281"/>
      <c r="F61" s="33"/>
      <c r="G61" s="171"/>
      <c r="H61" s="171"/>
      <c r="I61" s="33"/>
      <c r="J61" s="33"/>
      <c r="K61" s="33"/>
      <c r="L61" s="33"/>
      <c r="O61" s="33"/>
      <c r="P61" s="33"/>
      <c r="Q61" s="33"/>
      <c r="R61" s="33"/>
    </row>
    <row r="62" spans="2:18" hidden="1" x14ac:dyDescent="0.25">
      <c r="E62" s="281"/>
      <c r="F62" s="33"/>
      <c r="G62" s="171"/>
      <c r="H62" s="171"/>
      <c r="I62" s="33"/>
      <c r="J62" s="33"/>
      <c r="K62" s="33"/>
      <c r="L62" s="33"/>
      <c r="O62" s="33"/>
      <c r="P62" s="33"/>
      <c r="Q62" s="33"/>
      <c r="R62" s="33"/>
    </row>
    <row r="63" spans="2:18" hidden="1" x14ac:dyDescent="0.25">
      <c r="B63" s="33"/>
      <c r="C63" s="33"/>
      <c r="D63" s="33"/>
      <c r="E63" s="281"/>
      <c r="F63" s="33"/>
      <c r="G63" s="171"/>
      <c r="H63" s="171"/>
      <c r="I63" s="33"/>
      <c r="J63" s="33"/>
      <c r="K63" s="33"/>
      <c r="L63" s="33"/>
      <c r="O63" s="33"/>
      <c r="P63" s="33"/>
      <c r="Q63" s="33"/>
      <c r="R63" s="33"/>
    </row>
    <row r="64" spans="2:18" hidden="1" x14ac:dyDescent="0.25">
      <c r="B64" s="33"/>
      <c r="C64" s="33"/>
      <c r="D64" s="33"/>
      <c r="E64" s="281"/>
      <c r="F64" s="33"/>
      <c r="G64" s="171"/>
      <c r="H64" s="171"/>
      <c r="I64" s="33"/>
      <c r="J64" s="33"/>
      <c r="K64" s="33"/>
      <c r="L64" s="33"/>
      <c r="O64" s="33"/>
      <c r="P64" s="33"/>
      <c r="Q64" s="33"/>
      <c r="R64" s="33"/>
    </row>
    <row r="65" spans="2:18" hidden="1" x14ac:dyDescent="0.25">
      <c r="B65" s="33"/>
      <c r="C65" s="33"/>
      <c r="D65" s="33"/>
      <c r="E65" s="281"/>
      <c r="F65" s="33"/>
      <c r="G65" s="171"/>
      <c r="H65" s="171"/>
      <c r="I65" s="33"/>
      <c r="J65" s="33"/>
      <c r="K65" s="33"/>
      <c r="L65" s="33"/>
      <c r="O65" s="33"/>
      <c r="P65" s="33"/>
      <c r="Q65" s="33"/>
      <c r="R65" s="33"/>
    </row>
    <row r="66" spans="2:18" hidden="1" x14ac:dyDescent="0.25">
      <c r="B66" s="33"/>
      <c r="C66" s="33"/>
      <c r="D66" s="33"/>
      <c r="E66" s="281"/>
      <c r="F66" s="33"/>
      <c r="G66" s="171"/>
      <c r="H66" s="171"/>
      <c r="I66" s="33"/>
      <c r="J66" s="33"/>
      <c r="K66" s="33"/>
      <c r="L66" s="33"/>
      <c r="O66" s="33"/>
      <c r="P66" s="33"/>
      <c r="Q66" s="33"/>
      <c r="R66" s="33"/>
    </row>
    <row r="67" spans="2:18" hidden="1" x14ac:dyDescent="0.25">
      <c r="B67" s="33"/>
      <c r="C67" s="33"/>
      <c r="D67" s="33"/>
      <c r="E67" s="281"/>
      <c r="F67" s="33"/>
      <c r="G67" s="171"/>
      <c r="H67" s="171"/>
      <c r="I67" s="33"/>
      <c r="J67" s="33"/>
      <c r="K67" s="33"/>
      <c r="L67" s="33"/>
      <c r="O67" s="33"/>
      <c r="P67" s="33"/>
      <c r="Q67" s="33"/>
      <c r="R67" s="33"/>
    </row>
    <row r="68" spans="2:18" hidden="1" x14ac:dyDescent="0.25">
      <c r="B68" s="33"/>
      <c r="C68" s="33"/>
      <c r="D68" s="33"/>
      <c r="E68" s="281"/>
      <c r="F68" s="33"/>
      <c r="G68" s="171"/>
      <c r="H68" s="171"/>
      <c r="I68" s="33"/>
      <c r="J68" s="33"/>
      <c r="K68" s="33"/>
      <c r="L68" s="33"/>
      <c r="O68" s="33"/>
      <c r="P68" s="33"/>
      <c r="Q68" s="33"/>
      <c r="R68" s="33"/>
    </row>
    <row r="69" spans="2:18" hidden="1" x14ac:dyDescent="0.25">
      <c r="B69" s="33"/>
      <c r="C69" s="33"/>
      <c r="D69" s="33"/>
      <c r="E69" s="281"/>
      <c r="F69" s="33"/>
      <c r="G69" s="33"/>
      <c r="H69" s="33"/>
      <c r="I69" s="33"/>
      <c r="J69" s="33"/>
      <c r="K69" s="33"/>
      <c r="L69" s="33"/>
      <c r="O69" s="33"/>
      <c r="P69" s="33"/>
      <c r="Q69" s="33"/>
      <c r="R69" s="33"/>
    </row>
    <row r="70" spans="2:18" hidden="1" x14ac:dyDescent="0.25">
      <c r="B70" s="33"/>
      <c r="C70" s="33"/>
      <c r="D70" s="33"/>
      <c r="E70" s="281"/>
      <c r="F70" s="33"/>
      <c r="G70" s="33"/>
      <c r="H70" s="33"/>
      <c r="I70" s="33"/>
      <c r="J70" s="33"/>
      <c r="K70" s="33"/>
      <c r="L70" s="33"/>
      <c r="O70" s="33"/>
      <c r="P70" s="33"/>
      <c r="Q70" s="33"/>
      <c r="R70" s="33"/>
    </row>
    <row r="71" spans="2:18" hidden="1" x14ac:dyDescent="0.25">
      <c r="B71" s="33"/>
      <c r="C71" s="33"/>
      <c r="D71" s="33"/>
      <c r="E71" s="33"/>
      <c r="F71" s="33"/>
      <c r="G71" s="33"/>
      <c r="H71" s="33"/>
      <c r="I71" s="33"/>
      <c r="J71" s="33"/>
      <c r="K71" s="33"/>
      <c r="L71" s="33"/>
      <c r="O71" s="33"/>
      <c r="P71" s="33"/>
      <c r="Q71" s="33"/>
      <c r="R71" s="33"/>
    </row>
    <row r="72" spans="2:18" hidden="1" x14ac:dyDescent="0.25">
      <c r="B72" s="33"/>
      <c r="C72" s="33"/>
      <c r="D72" s="33"/>
      <c r="E72" s="281"/>
      <c r="F72" s="33"/>
      <c r="G72" s="33"/>
      <c r="H72" s="33"/>
      <c r="I72" s="33"/>
      <c r="J72" s="33"/>
      <c r="K72" s="33"/>
      <c r="L72" s="33"/>
      <c r="O72" s="33"/>
      <c r="P72" s="33"/>
      <c r="Q72" s="33"/>
      <c r="R72" s="33"/>
    </row>
    <row r="73" spans="2:18" hidden="1" x14ac:dyDescent="0.25">
      <c r="B73" s="33"/>
      <c r="C73" s="33"/>
      <c r="D73" s="33"/>
      <c r="E73" s="281"/>
      <c r="F73" s="33"/>
      <c r="G73" s="33"/>
      <c r="H73" s="33"/>
      <c r="I73" s="33"/>
      <c r="J73" s="33"/>
      <c r="K73" s="33"/>
      <c r="L73" s="33"/>
      <c r="O73" s="33"/>
      <c r="P73" s="33"/>
      <c r="Q73" s="33"/>
      <c r="R73" s="33"/>
    </row>
    <row r="74" spans="2:18" hidden="1" x14ac:dyDescent="0.25">
      <c r="E74" s="6"/>
    </row>
    <row r="75" spans="2:18" hidden="1" x14ac:dyDescent="0.25">
      <c r="E75" s="6"/>
    </row>
    <row r="76" spans="2:18" hidden="1" x14ac:dyDescent="0.25">
      <c r="E76" s="6"/>
    </row>
    <row r="77" spans="2:18" hidden="1" x14ac:dyDescent="0.25">
      <c r="E77" s="6"/>
    </row>
    <row r="78" spans="2:18" hidden="1" x14ac:dyDescent="0.25">
      <c r="E78" s="6"/>
    </row>
    <row r="79" spans="2:18" hidden="1" x14ac:dyDescent="0.25">
      <c r="E79" s="6"/>
    </row>
  </sheetData>
  <sheetProtection password="F7E5" sheet="1" objects="1" scenarios="1"/>
  <mergeCells count="14">
    <mergeCell ref="B2:D2"/>
    <mergeCell ref="B11:D11"/>
    <mergeCell ref="B24:D24"/>
    <mergeCell ref="B20:D20"/>
    <mergeCell ref="B16:D16"/>
    <mergeCell ref="F4:R4"/>
    <mergeCell ref="F48:G48"/>
    <mergeCell ref="F47:G47"/>
    <mergeCell ref="B46:C46"/>
    <mergeCell ref="F46:G46"/>
    <mergeCell ref="J46:K46"/>
    <mergeCell ref="B37:D37"/>
    <mergeCell ref="B33:D33"/>
    <mergeCell ref="B29:D29"/>
  </mergeCells>
  <dataValidations count="7">
    <dataValidation type="list" allowBlank="1" showInputMessage="1" showErrorMessage="1" sqref="H46">
      <formula1>Volume_connu</formula1>
    </dataValidation>
    <dataValidation type="list" allowBlank="1" showInputMessage="1" showErrorMessage="1" sqref="C53">
      <formula1>Pluviométrie</formula1>
    </dataValidation>
    <dataValidation type="list" allowBlank="1" showInputMessage="1" showErrorMessage="1" sqref="D12">
      <formula1>Periode_velage</formula1>
    </dataValidation>
    <dataValidation type="list" allowBlank="1" showInputMessage="1" showErrorMessage="1" sqref="G13:R13">
      <formula1>Fourrage_VA</formula1>
    </dataValidation>
    <dataValidation type="list" allowBlank="1" showInputMessage="1" showErrorMessage="1" sqref="G18:R18 G22:R22 G26:R26">
      <formula1>Fourrage_G</formula1>
    </dataValidation>
    <dataValidation type="list" allowBlank="1" showInputMessage="1" showErrorMessage="1" sqref="G31:R31 G35:R35 G39:R39">
      <formula1>Fourrage_E</formula1>
    </dataValidation>
    <dataValidation type="list" allowBlank="1" showInputMessage="1" showErrorMessage="1" sqref="C43:C45">
      <formula1>Fosse_couverture</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rgb="FF92D050"/>
  </sheetPr>
  <dimension ref="A1:V853"/>
  <sheetViews>
    <sheetView topLeftCell="A127" zoomScale="70" zoomScaleNormal="70" workbookViewId="0">
      <selection activeCell="B670" sqref="B670"/>
    </sheetView>
  </sheetViews>
  <sheetFormatPr baseColWidth="10" defaultRowHeight="15" x14ac:dyDescent="0.25"/>
  <cols>
    <col min="1" max="1" width="28.140625" customWidth="1"/>
    <col min="2" max="2" width="69.140625" customWidth="1"/>
    <col min="3" max="3" width="26.140625" customWidth="1"/>
    <col min="4" max="4" width="12.5703125" bestFit="1" customWidth="1"/>
    <col min="5" max="15" width="11.7109375" bestFit="1" customWidth="1"/>
    <col min="16" max="16" width="11.5703125" style="12" customWidth="1"/>
  </cols>
  <sheetData>
    <row r="1" spans="1:16" x14ac:dyDescent="0.25">
      <c r="P1" t="s">
        <v>42</v>
      </c>
    </row>
    <row r="2" spans="1:16" x14ac:dyDescent="0.25">
      <c r="P2" t="s">
        <v>272</v>
      </c>
    </row>
    <row r="3" spans="1:16" x14ac:dyDescent="0.25">
      <c r="P3" s="30"/>
    </row>
    <row r="4" spans="1:16" x14ac:dyDescent="0.25">
      <c r="P4" s="30"/>
    </row>
    <row r="5" spans="1:16" x14ac:dyDescent="0.25">
      <c r="P5" s="30"/>
    </row>
    <row r="6" spans="1:16" x14ac:dyDescent="0.25">
      <c r="P6" s="30"/>
    </row>
    <row r="7" spans="1:16" x14ac:dyDescent="0.25">
      <c r="A7" s="1" t="s">
        <v>1</v>
      </c>
      <c r="B7" s="1" t="s">
        <v>155</v>
      </c>
      <c r="C7" s="1" t="s">
        <v>154</v>
      </c>
      <c r="D7" s="1" t="s">
        <v>132</v>
      </c>
      <c r="E7" s="1" t="s">
        <v>133</v>
      </c>
      <c r="F7" s="1" t="s">
        <v>134</v>
      </c>
      <c r="G7" s="1" t="s">
        <v>135</v>
      </c>
      <c r="H7" s="1" t="s">
        <v>136</v>
      </c>
      <c r="I7" s="1" t="s">
        <v>137</v>
      </c>
      <c r="J7" s="1" t="s">
        <v>138</v>
      </c>
      <c r="K7" s="1" t="s">
        <v>139</v>
      </c>
      <c r="L7" s="1" t="s">
        <v>140</v>
      </c>
      <c r="M7" s="1" t="s">
        <v>141</v>
      </c>
      <c r="N7" s="1" t="s">
        <v>142</v>
      </c>
      <c r="O7" s="1" t="s">
        <v>143</v>
      </c>
      <c r="P7" s="30"/>
    </row>
    <row r="8" spans="1:16" x14ac:dyDescent="0.25">
      <c r="A8" t="s">
        <v>147</v>
      </c>
      <c r="B8" t="s">
        <v>158</v>
      </c>
      <c r="C8" t="s">
        <v>159</v>
      </c>
      <c r="D8" s="29">
        <f>('Saisie 2_bovins'!G5*param_bovins!$B$41+'Saisie 2_bovins'!G6*param_bovins!$B$42+'Saisie 2_bovins'!G7*param_bovins!$B$43+'Saisie 2_bovins'!G8*param_bovins!$B$48+'Saisie 2_bovins'!G9*param_bovins!$B$47)/1000</f>
        <v>0.56895999999999991</v>
      </c>
      <c r="E8" s="29">
        <f>('Saisie 2_bovins'!H5*param_bovins!$B$41+'Saisie 2_bovins'!H6*param_bovins!$B$42+'Saisie 2_bovins'!H7*param_bovins!$B$43+'Saisie 2_bovins'!H8*param_bovins!$B$48+'Saisie 2_bovins'!H9*param_bovins!$B$47)/1000</f>
        <v>0.56895999999999991</v>
      </c>
      <c r="F8" s="29">
        <f>('Saisie 2_bovins'!I5*param_bovins!$B$41+'Saisie 2_bovins'!I6*param_bovins!$B$42+'Saisie 2_bovins'!I7*param_bovins!$B$43+'Saisie 2_bovins'!I8*param_bovins!$B$48+'Saisie 2_bovins'!I9*param_bovins!$B$47)/1000</f>
        <v>0.38647000000000004</v>
      </c>
      <c r="G8" s="29">
        <f>('Saisie 2_bovins'!J5*param_bovins!$B$41+'Saisie 2_bovins'!J6*param_bovins!$B$42+'Saisie 2_bovins'!J7*param_bovins!$B$43+'Saisie 2_bovins'!J8*param_bovins!$B$48+'Saisie 2_bovins'!J9*param_bovins!$B$47)/1000</f>
        <v>0.39737</v>
      </c>
      <c r="H8" s="29">
        <f>('Saisie 2_bovins'!K5*param_bovins!$B$41+'Saisie 2_bovins'!K6*param_bovins!$B$42+'Saisie 2_bovins'!K7*param_bovins!$B$43+'Saisie 2_bovins'!K8*param_bovins!$B$48+'Saisie 2_bovins'!K9*param_bovins!$B$47)/1000</f>
        <v>0.39737</v>
      </c>
      <c r="I8" s="29">
        <f>('Saisie 2_bovins'!L5*param_bovins!$B$41+'Saisie 2_bovins'!L6*param_bovins!$B$42+'Saisie 2_bovins'!L7*param_bovins!$B$43+'Saisie 2_bovins'!L8*param_bovins!$B$48+'Saisie 2_bovins'!L9*param_bovins!$B$47)/1000</f>
        <v>0.44471000000000005</v>
      </c>
      <c r="J8" s="29">
        <f>('Saisie 2_bovins'!M5*param_bovins!$B$41+'Saisie 2_bovins'!M6*param_bovins!$B$42+'Saisie 2_bovins'!M7*param_bovins!$B$43+'Saisie 2_bovins'!M8*param_bovins!$B$48+'Saisie 2_bovins'!M9*param_bovins!$B$47)/1000</f>
        <v>0.51081999999999994</v>
      </c>
      <c r="K8" s="29">
        <f>('Saisie 2_bovins'!N5*param_bovins!$B$41+'Saisie 2_bovins'!N6*param_bovins!$B$42+'Saisie 2_bovins'!N7*param_bovins!$B$43+'Saisie 2_bovins'!N8*param_bovins!$B$48+'Saisie 2_bovins'!N9*param_bovins!$B$47)/1000</f>
        <v>0.50722</v>
      </c>
      <c r="L8" s="29">
        <f>('Saisie 2_bovins'!O5*param_bovins!$B$41+'Saisie 2_bovins'!O6*param_bovins!$B$42+'Saisie 2_bovins'!O7*param_bovins!$B$43+'Saisie 2_bovins'!O8*param_bovins!$B$48+'Saisie 2_bovins'!O9*param_bovins!$B$47)/1000</f>
        <v>0.52036000000000004</v>
      </c>
      <c r="M8" s="29">
        <f>('Saisie 2_bovins'!P5*param_bovins!$B$41+'Saisie 2_bovins'!P6*param_bovins!$B$42+'Saisie 2_bovins'!P7*param_bovins!$B$43+'Saisie 2_bovins'!P8*param_bovins!$B$48+'Saisie 2_bovins'!P9*param_bovins!$B$47)/1000</f>
        <v>0.53139999999999998</v>
      </c>
      <c r="N8" s="29">
        <f>('Saisie 2_bovins'!Q5*param_bovins!$B$41+'Saisie 2_bovins'!Q6*param_bovins!$B$42+'Saisie 2_bovins'!Q7*param_bovins!$B$43+'Saisie 2_bovins'!Q8*param_bovins!$B$48+'Saisie 2_bovins'!Q9*param_bovins!$B$47)/1000</f>
        <v>0.57728000000000013</v>
      </c>
      <c r="O8" s="29">
        <f>('Saisie 2_bovins'!R5*param_bovins!$B$41+'Saisie 2_bovins'!R6*param_bovins!$B$42+'Saisie 2_bovins'!R7*param_bovins!$B$43+'Saisie 2_bovins'!R8*param_bovins!$B$48+'Saisie 2_bovins'!R9*param_bovins!$B$47)/1000</f>
        <v>0.57728000000000013</v>
      </c>
      <c r="P8" s="30"/>
    </row>
    <row r="9" spans="1:16" x14ac:dyDescent="0.25">
      <c r="A9" t="s">
        <v>156</v>
      </c>
      <c r="B9" t="s">
        <v>165</v>
      </c>
      <c r="C9" t="s">
        <v>159</v>
      </c>
      <c r="D9" s="29">
        <f>'Saisie 2_bovins'!$D$3*'Saisie 2_bovins'!$D$4/(1.033*0.95*6.38*1000)/365.25</f>
        <v>0.11976377841409051</v>
      </c>
      <c r="E9" s="29">
        <f>'Saisie 2_bovins'!$D$3*'Saisie 2_bovins'!$D$4/(1.033*0.95*6.38*1000)/365.25</f>
        <v>0.11976377841409051</v>
      </c>
      <c r="F9" s="29">
        <f>'Saisie 2_bovins'!$D$3*'Saisie 2_bovins'!$D$4/(1.033*0.95*6.38*1000)/365.25</f>
        <v>0.11976377841409051</v>
      </c>
      <c r="G9" s="29">
        <f>'Saisie 2_bovins'!$D$3*'Saisie 2_bovins'!$D$4/(1.033*0.95*6.38*1000)/365.25</f>
        <v>0.11976377841409051</v>
      </c>
      <c r="H9" s="29">
        <f>'Saisie 2_bovins'!$D$3*'Saisie 2_bovins'!$D$4/(1.033*0.95*6.38*1000)/365.25</f>
        <v>0.11976377841409051</v>
      </c>
      <c r="I9" s="29">
        <f>'Saisie 2_bovins'!$D$3*'Saisie 2_bovins'!$D$4/(1.033*0.95*6.38*1000)/365.25</f>
        <v>0.11976377841409051</v>
      </c>
      <c r="J9" s="29">
        <f>'Saisie 2_bovins'!$D$3*'Saisie 2_bovins'!$D$4/(1.033*0.95*6.38*1000)/365.25</f>
        <v>0.11976377841409051</v>
      </c>
      <c r="K9" s="29">
        <f>'Saisie 2_bovins'!$D$3*'Saisie 2_bovins'!$D$4/(1.033*0.95*6.38*1000)/365.25</f>
        <v>0.11976377841409051</v>
      </c>
      <c r="L9" s="29">
        <f>'Saisie 2_bovins'!$D$3*'Saisie 2_bovins'!$D$4/(1.033*0.95*6.38*1000)/365.25</f>
        <v>0.11976377841409051</v>
      </c>
      <c r="M9" s="29">
        <f>'Saisie 2_bovins'!$D$3*'Saisie 2_bovins'!$D$4/(1.033*0.95*6.38*1000)/365.25</f>
        <v>0.11976377841409051</v>
      </c>
      <c r="N9" s="29">
        <f>'Saisie 2_bovins'!$D$3*'Saisie 2_bovins'!$D$4/(1.033*0.95*6.38*1000)/365.25</f>
        <v>0.11976377841409051</v>
      </c>
      <c r="O9" s="29">
        <f>'Saisie 2_bovins'!$D$3*'Saisie 2_bovins'!$D$4/(1.033*0.95*6.38*1000)/365.25</f>
        <v>0.11976377841409051</v>
      </c>
      <c r="P9" s="30"/>
    </row>
    <row r="10" spans="1:16" x14ac:dyDescent="0.25">
      <c r="A10" t="s">
        <v>157</v>
      </c>
      <c r="B10" s="291" t="s">
        <v>160</v>
      </c>
      <c r="C10" t="s">
        <v>159</v>
      </c>
      <c r="D10" s="29">
        <f>24*50/365.25/1000</f>
        <v>3.2854209445585215E-3</v>
      </c>
      <c r="E10" s="29">
        <f t="shared" ref="E10:O10" si="0">24*50/1000/365.25</f>
        <v>3.2854209445585215E-3</v>
      </c>
      <c r="F10" s="29">
        <f t="shared" si="0"/>
        <v>3.2854209445585215E-3</v>
      </c>
      <c r="G10" s="29">
        <f t="shared" si="0"/>
        <v>3.2854209445585215E-3</v>
      </c>
      <c r="H10" s="29">
        <f t="shared" si="0"/>
        <v>3.2854209445585215E-3</v>
      </c>
      <c r="I10" s="29">
        <f t="shared" si="0"/>
        <v>3.2854209445585215E-3</v>
      </c>
      <c r="J10" s="29">
        <f t="shared" si="0"/>
        <v>3.2854209445585215E-3</v>
      </c>
      <c r="K10" s="29">
        <f t="shared" si="0"/>
        <v>3.2854209445585215E-3</v>
      </c>
      <c r="L10" s="29">
        <f t="shared" si="0"/>
        <v>3.2854209445585215E-3</v>
      </c>
      <c r="M10" s="29">
        <f t="shared" si="0"/>
        <v>3.2854209445585215E-3</v>
      </c>
      <c r="N10" s="29">
        <f t="shared" si="0"/>
        <v>3.2854209445585215E-3</v>
      </c>
      <c r="O10" s="29">
        <f t="shared" si="0"/>
        <v>3.2854209445585215E-3</v>
      </c>
      <c r="P10" s="30"/>
    </row>
    <row r="11" spans="1:16" x14ac:dyDescent="0.25">
      <c r="A11" t="s">
        <v>166</v>
      </c>
      <c r="B11" t="s">
        <v>161</v>
      </c>
      <c r="C11" t="s">
        <v>159</v>
      </c>
      <c r="D11" s="29">
        <f>D8-D9-D10</f>
        <v>0.44591080064135086</v>
      </c>
      <c r="E11" s="29">
        <f t="shared" ref="E11:O11" si="1">E8-E9-E10</f>
        <v>0.44591080064135086</v>
      </c>
      <c r="F11" s="29">
        <f t="shared" si="1"/>
        <v>0.26342080064135098</v>
      </c>
      <c r="G11" s="29">
        <f t="shared" si="1"/>
        <v>0.27432080064135095</v>
      </c>
      <c r="H11" s="29">
        <f t="shared" si="1"/>
        <v>0.27432080064135095</v>
      </c>
      <c r="I11" s="29">
        <f t="shared" si="1"/>
        <v>0.321660800641351</v>
      </c>
      <c r="J11" s="29">
        <f t="shared" si="1"/>
        <v>0.38777080064135089</v>
      </c>
      <c r="K11" s="29">
        <f t="shared" si="1"/>
        <v>0.38417080064135095</v>
      </c>
      <c r="L11" s="29">
        <f t="shared" si="1"/>
        <v>0.39731080064135099</v>
      </c>
      <c r="M11" s="29">
        <f t="shared" si="1"/>
        <v>0.40835080064135093</v>
      </c>
      <c r="N11" s="29">
        <f t="shared" si="1"/>
        <v>0.45423080064135107</v>
      </c>
      <c r="O11" s="29">
        <f t="shared" si="1"/>
        <v>0.45423080064135107</v>
      </c>
      <c r="P11" s="31"/>
    </row>
    <row r="12" spans="1:16" x14ac:dyDescent="0.25">
      <c r="A12" t="s">
        <v>166</v>
      </c>
      <c r="C12" t="s">
        <v>201</v>
      </c>
      <c r="D12" s="29">
        <f>D11*365.25/12</f>
        <v>13.572409994521117</v>
      </c>
      <c r="E12" s="29">
        <f t="shared" ref="E12:O12" si="2">E11*365.25/12</f>
        <v>13.572409994521117</v>
      </c>
      <c r="F12" s="29">
        <f t="shared" si="2"/>
        <v>8.0178706195211209</v>
      </c>
      <c r="G12" s="29">
        <f t="shared" si="2"/>
        <v>8.3496393695211193</v>
      </c>
      <c r="H12" s="29">
        <f t="shared" si="2"/>
        <v>8.3496393695211193</v>
      </c>
      <c r="I12" s="29">
        <f t="shared" si="2"/>
        <v>9.790550619521122</v>
      </c>
      <c r="J12" s="29">
        <f t="shared" si="2"/>
        <v>11.802773744521119</v>
      </c>
      <c r="K12" s="29">
        <f t="shared" si="2"/>
        <v>11.693198744521119</v>
      </c>
      <c r="L12" s="29">
        <f t="shared" si="2"/>
        <v>12.093147494521121</v>
      </c>
      <c r="M12" s="29">
        <f t="shared" si="2"/>
        <v>12.429177494521118</v>
      </c>
      <c r="N12" s="29">
        <f t="shared" si="2"/>
        <v>13.825649994521124</v>
      </c>
      <c r="O12" s="29">
        <f t="shared" si="2"/>
        <v>13.825649994521124</v>
      </c>
      <c r="P12" s="31"/>
    </row>
    <row r="13" spans="1:16" x14ac:dyDescent="0.25">
      <c r="A13" s="36" t="s">
        <v>162</v>
      </c>
      <c r="B13" s="36" t="s">
        <v>163</v>
      </c>
      <c r="C13" s="36" t="s">
        <v>164</v>
      </c>
      <c r="D13" s="37">
        <f>D11*365.25</f>
        <v>162.8689199342534</v>
      </c>
      <c r="E13" s="37">
        <f t="shared" ref="E13:O13" si="3">E11*365.25</f>
        <v>162.8689199342534</v>
      </c>
      <c r="F13" s="37">
        <f t="shared" si="3"/>
        <v>96.214447434253444</v>
      </c>
      <c r="G13" s="37">
        <f t="shared" si="3"/>
        <v>100.19567243425344</v>
      </c>
      <c r="H13" s="37">
        <f t="shared" si="3"/>
        <v>100.19567243425344</v>
      </c>
      <c r="I13" s="37">
        <f t="shared" si="3"/>
        <v>117.48660743425346</v>
      </c>
      <c r="J13" s="37">
        <f t="shared" si="3"/>
        <v>141.63328493425342</v>
      </c>
      <c r="K13" s="37">
        <f t="shared" si="3"/>
        <v>140.31838493425343</v>
      </c>
      <c r="L13" s="37">
        <f t="shared" si="3"/>
        <v>145.11776993425346</v>
      </c>
      <c r="M13" s="37">
        <f t="shared" si="3"/>
        <v>149.15012993425341</v>
      </c>
      <c r="N13" s="37">
        <f t="shared" si="3"/>
        <v>165.90779993425349</v>
      </c>
      <c r="O13" s="37">
        <f t="shared" si="3"/>
        <v>165.90779993425349</v>
      </c>
      <c r="P13" s="31"/>
    </row>
    <row r="14" spans="1:16" x14ac:dyDescent="0.25">
      <c r="A14" t="s">
        <v>145</v>
      </c>
      <c r="B14" t="s">
        <v>168</v>
      </c>
      <c r="C14" t="s">
        <v>167</v>
      </c>
      <c r="D14" s="32">
        <f>('Saisie 2_bovins'!G5*param_bovins!$C$41+'Saisie 2_bovins'!G6*param_bovins!$C$42+'Saisie 2_bovins'!G7*param_bovins!$C$43+'Saisie 2_bovins'!G8*param_bovins!$C$48+'Saisie 2_bovins'!G9*param_bovins!$C$47)/1000</f>
        <v>8.0030000000000004E-2</v>
      </c>
      <c r="E14" s="32">
        <f>('Saisie 2_bovins'!H5*param_bovins!$C$41+'Saisie 2_bovins'!H6*param_bovins!$C$42+'Saisie 2_bovins'!H7*param_bovins!$C$43+'Saisie 2_bovins'!H8*param_bovins!$C$48+'Saisie 2_bovins'!H9*param_bovins!$C$47)/1000</f>
        <v>8.0030000000000004E-2</v>
      </c>
      <c r="F14" s="32">
        <f>('Saisie 2_bovins'!I5*param_bovins!$C$41+'Saisie 2_bovins'!I6*param_bovins!$C$42+'Saisie 2_bovins'!I7*param_bovins!$C$43+'Saisie 2_bovins'!I8*param_bovins!$C$48+'Saisie 2_bovins'!I9*param_bovins!$C$47)/1000</f>
        <v>6.2250000000000007E-2</v>
      </c>
      <c r="G14" s="32">
        <f>('Saisie 2_bovins'!J5*param_bovins!$C$41+'Saisie 2_bovins'!J6*param_bovins!$C$42+'Saisie 2_bovins'!J7*param_bovins!$C$43+'Saisie 2_bovins'!J8*param_bovins!$C$48+'Saisie 2_bovins'!J9*param_bovins!$C$47)/1000</f>
        <v>6.3450000000000006E-2</v>
      </c>
      <c r="H14" s="32">
        <f>('Saisie 2_bovins'!K5*param_bovins!$C$41+'Saisie 2_bovins'!K6*param_bovins!$C$42+'Saisie 2_bovins'!K7*param_bovins!$C$43+'Saisie 2_bovins'!K8*param_bovins!$C$48+'Saisie 2_bovins'!K9*param_bovins!$C$47)/1000</f>
        <v>6.3450000000000006E-2</v>
      </c>
      <c r="I14" s="32">
        <f>('Saisie 2_bovins'!L5*param_bovins!$C$41+'Saisie 2_bovins'!L6*param_bovins!$C$42+'Saisie 2_bovins'!L7*param_bovins!$C$43+'Saisie 2_bovins'!L8*param_bovins!$C$48+'Saisie 2_bovins'!L9*param_bovins!$C$47)/1000</f>
        <v>6.7710000000000006E-2</v>
      </c>
      <c r="J14" s="32">
        <f>('Saisie 2_bovins'!M5*param_bovins!$C$41+'Saisie 2_bovins'!M6*param_bovins!$C$42+'Saisie 2_bovins'!M7*param_bovins!$C$43+'Saisie 2_bovins'!M8*param_bovins!$C$48+'Saisie 2_bovins'!M9*param_bovins!$C$47)/1000</f>
        <v>7.3660000000000017E-2</v>
      </c>
      <c r="K14" s="32">
        <f>('Saisie 2_bovins'!N5*param_bovins!$C$41+'Saisie 2_bovins'!N6*param_bovins!$C$42+'Saisie 2_bovins'!N7*param_bovins!$C$43+'Saisie 2_bovins'!N8*param_bovins!$C$48+'Saisie 2_bovins'!N9*param_bovins!$C$47)/1000</f>
        <v>7.331E-2</v>
      </c>
      <c r="L14" s="32">
        <f>('Saisie 2_bovins'!O5*param_bovins!$C$41+'Saisie 2_bovins'!O6*param_bovins!$C$42+'Saisie 2_bovins'!O7*param_bovins!$C$43+'Saisie 2_bovins'!O8*param_bovins!$C$48+'Saisie 2_bovins'!O9*param_bovins!$C$47)/1000</f>
        <v>7.467E-2</v>
      </c>
      <c r="M14" s="32">
        <f>('Saisie 2_bovins'!P5*param_bovins!$C$41+'Saisie 2_bovins'!P6*param_bovins!$C$42+'Saisie 2_bovins'!P7*param_bovins!$C$43+'Saisie 2_bovins'!P8*param_bovins!$C$48+'Saisie 2_bovins'!P9*param_bovins!$C$47)/1000</f>
        <v>7.689E-2</v>
      </c>
      <c r="N14" s="32">
        <f>('Saisie 2_bovins'!Q5*param_bovins!$C$41+'Saisie 2_bovins'!Q6*param_bovins!$C$42+'Saisie 2_bovins'!Q7*param_bovins!$C$43+'Saisie 2_bovins'!Q8*param_bovins!$C$48+'Saisie 2_bovins'!Q9*param_bovins!$C$47)/1000</f>
        <v>8.0810000000000007E-2</v>
      </c>
      <c r="O14" s="32">
        <f>('Saisie 2_bovins'!R5*param_bovins!$C$41+'Saisie 2_bovins'!R6*param_bovins!$C$42+'Saisie 2_bovins'!R7*param_bovins!$C$43+'Saisie 2_bovins'!R8*param_bovins!$C$48+'Saisie 2_bovins'!R9*param_bovins!$C$47)/1000</f>
        <v>8.0810000000000007E-2</v>
      </c>
      <c r="P14" s="30"/>
    </row>
    <row r="15" spans="1:16" x14ac:dyDescent="0.25">
      <c r="A15" t="s">
        <v>169</v>
      </c>
      <c r="B15" s="291" t="s">
        <v>172</v>
      </c>
      <c r="C15" t="s">
        <v>167</v>
      </c>
      <c r="D15" s="32">
        <f>'Saisie 2_bovins'!$D$3*0.95/1.033/1000/365.25</f>
        <v>2.0646522392796775E-2</v>
      </c>
      <c r="E15" s="32">
        <f>'Saisie 2_bovins'!$D$3*0.95/1.033/1000/365.25</f>
        <v>2.0646522392796775E-2</v>
      </c>
      <c r="F15" s="32">
        <f>'Saisie 2_bovins'!$D$3*0.95/1.033/1000/365.25</f>
        <v>2.0646522392796775E-2</v>
      </c>
      <c r="G15" s="32">
        <f>'Saisie 2_bovins'!$D$3*0.95/1.033/1000/365.25</f>
        <v>2.0646522392796775E-2</v>
      </c>
      <c r="H15" s="32">
        <f>'Saisie 2_bovins'!$D$3*0.95/1.033/1000/365.25</f>
        <v>2.0646522392796775E-2</v>
      </c>
      <c r="I15" s="32">
        <f>'Saisie 2_bovins'!$D$3*0.95/1.033/1000/365.25</f>
        <v>2.0646522392796775E-2</v>
      </c>
      <c r="J15" s="32">
        <f>'Saisie 2_bovins'!$D$3*0.95/1.033/1000/365.25</f>
        <v>2.0646522392796775E-2</v>
      </c>
      <c r="K15" s="32">
        <f>'Saisie 2_bovins'!$D$3*0.95/1.033/1000/365.25</f>
        <v>2.0646522392796775E-2</v>
      </c>
      <c r="L15" s="32">
        <f>'Saisie 2_bovins'!$D$3*0.95/1.033/1000/365.25</f>
        <v>2.0646522392796775E-2</v>
      </c>
      <c r="M15" s="32">
        <f>'Saisie 2_bovins'!$D$3*0.95/1.033/1000/365.25</f>
        <v>2.0646522392796775E-2</v>
      </c>
      <c r="N15" s="32">
        <f>'Saisie 2_bovins'!$D$3*0.95/1.033/1000/365.25</f>
        <v>2.0646522392796775E-2</v>
      </c>
      <c r="O15" s="32">
        <f>'Saisie 2_bovins'!$D$3*0.95/1.033/1000/365.25</f>
        <v>2.0646522392796775E-2</v>
      </c>
      <c r="P15" s="30"/>
    </row>
    <row r="16" spans="1:16" x14ac:dyDescent="0.25">
      <c r="A16" t="s">
        <v>170</v>
      </c>
      <c r="B16" s="291" t="s">
        <v>173</v>
      </c>
      <c r="C16" t="s">
        <v>167</v>
      </c>
      <c r="D16" s="32">
        <f>6.99*50/365.25/1000</f>
        <v>9.5687885010266934E-4</v>
      </c>
      <c r="E16" s="32">
        <f t="shared" ref="E16:O16" si="4">6.99*50/365.25/1000</f>
        <v>9.5687885010266934E-4</v>
      </c>
      <c r="F16" s="32">
        <f t="shared" si="4"/>
        <v>9.5687885010266934E-4</v>
      </c>
      <c r="G16" s="32">
        <f t="shared" si="4"/>
        <v>9.5687885010266934E-4</v>
      </c>
      <c r="H16" s="32">
        <f t="shared" si="4"/>
        <v>9.5687885010266934E-4</v>
      </c>
      <c r="I16" s="32">
        <f t="shared" si="4"/>
        <v>9.5687885010266934E-4</v>
      </c>
      <c r="J16" s="32">
        <f t="shared" si="4"/>
        <v>9.5687885010266934E-4</v>
      </c>
      <c r="K16" s="32">
        <f t="shared" si="4"/>
        <v>9.5687885010266934E-4</v>
      </c>
      <c r="L16" s="32">
        <f t="shared" si="4"/>
        <v>9.5687885010266934E-4</v>
      </c>
      <c r="M16" s="32">
        <f t="shared" si="4"/>
        <v>9.5687885010266934E-4</v>
      </c>
      <c r="N16" s="32">
        <f t="shared" si="4"/>
        <v>9.5687885010266934E-4</v>
      </c>
      <c r="O16" s="32">
        <f t="shared" si="4"/>
        <v>9.5687885010266934E-4</v>
      </c>
      <c r="P16" s="30"/>
    </row>
    <row r="17" spans="1:16" x14ac:dyDescent="0.25">
      <c r="A17" t="s">
        <v>171</v>
      </c>
      <c r="B17" s="291" t="s">
        <v>174</v>
      </c>
      <c r="C17" t="s">
        <v>167</v>
      </c>
      <c r="D17" s="32">
        <f>D14-D15-D16</f>
        <v>5.8426598757100559E-2</v>
      </c>
      <c r="E17" s="32">
        <f t="shared" ref="E17:O17" si="5">E14-E15-E16</f>
        <v>5.8426598757100559E-2</v>
      </c>
      <c r="F17" s="32">
        <f t="shared" si="5"/>
        <v>4.0646598757100562E-2</v>
      </c>
      <c r="G17" s="32">
        <f t="shared" si="5"/>
        <v>4.1846598757100562E-2</v>
      </c>
      <c r="H17" s="32">
        <f t="shared" si="5"/>
        <v>4.1846598757100562E-2</v>
      </c>
      <c r="I17" s="32">
        <f t="shared" si="5"/>
        <v>4.6106598757100561E-2</v>
      </c>
      <c r="J17" s="32">
        <f t="shared" si="5"/>
        <v>5.2056598757100572E-2</v>
      </c>
      <c r="K17" s="32">
        <f t="shared" si="5"/>
        <v>5.1706598757100555E-2</v>
      </c>
      <c r="L17" s="32">
        <f t="shared" si="5"/>
        <v>5.3066598757100555E-2</v>
      </c>
      <c r="M17" s="32">
        <f t="shared" si="5"/>
        <v>5.5286598757100555E-2</v>
      </c>
      <c r="N17" s="32">
        <f t="shared" si="5"/>
        <v>5.9206598757100562E-2</v>
      </c>
      <c r="O17" s="32">
        <f t="shared" si="5"/>
        <v>5.9206598757100562E-2</v>
      </c>
      <c r="P17" s="30"/>
    </row>
    <row r="18" spans="1:16" x14ac:dyDescent="0.25">
      <c r="A18" t="s">
        <v>171</v>
      </c>
      <c r="C18" t="s">
        <v>202</v>
      </c>
      <c r="D18" s="29">
        <f>D17*365.25/12</f>
        <v>1.7783595996692483</v>
      </c>
      <c r="E18" s="29">
        <f t="shared" ref="E18:O18" si="6">E17*365.25/12</f>
        <v>1.7783595996692483</v>
      </c>
      <c r="F18" s="29">
        <f t="shared" si="6"/>
        <v>1.2371808496692485</v>
      </c>
      <c r="G18" s="29">
        <f t="shared" si="6"/>
        <v>1.2737058496692484</v>
      </c>
      <c r="H18" s="29">
        <f t="shared" si="6"/>
        <v>1.2737058496692484</v>
      </c>
      <c r="I18" s="29">
        <f t="shared" si="6"/>
        <v>1.4033695996692483</v>
      </c>
      <c r="J18" s="29">
        <f t="shared" si="6"/>
        <v>1.5844727246692487</v>
      </c>
      <c r="K18" s="29">
        <f t="shared" si="6"/>
        <v>1.5738195996692481</v>
      </c>
      <c r="L18" s="29">
        <f t="shared" si="6"/>
        <v>1.6152145996692482</v>
      </c>
      <c r="M18" s="29">
        <f t="shared" si="6"/>
        <v>1.682785849669248</v>
      </c>
      <c r="N18" s="29">
        <f t="shared" si="6"/>
        <v>1.8021008496692483</v>
      </c>
      <c r="O18" s="29">
        <f t="shared" si="6"/>
        <v>1.8021008496692483</v>
      </c>
      <c r="P18" s="30"/>
    </row>
    <row r="19" spans="1:16" s="33" customFormat="1" x14ac:dyDescent="0.25">
      <c r="A19" s="36" t="s">
        <v>175</v>
      </c>
      <c r="B19" s="36" t="s">
        <v>176</v>
      </c>
      <c r="C19" s="36" t="s">
        <v>177</v>
      </c>
      <c r="D19" s="37">
        <f>D17*365.25</f>
        <v>21.340315196030978</v>
      </c>
      <c r="E19" s="37">
        <f t="shared" ref="E19:O19" si="7">E17*365.25</f>
        <v>21.340315196030978</v>
      </c>
      <c r="F19" s="37">
        <f t="shared" si="7"/>
        <v>14.846170196030981</v>
      </c>
      <c r="G19" s="37">
        <f t="shared" si="7"/>
        <v>15.284470196030981</v>
      </c>
      <c r="H19" s="37">
        <f t="shared" si="7"/>
        <v>15.284470196030981</v>
      </c>
      <c r="I19" s="37">
        <f t="shared" si="7"/>
        <v>16.840435196030981</v>
      </c>
      <c r="J19" s="37">
        <f t="shared" si="7"/>
        <v>19.013672696030984</v>
      </c>
      <c r="K19" s="37">
        <f t="shared" si="7"/>
        <v>18.885835196030978</v>
      </c>
      <c r="L19" s="37">
        <f t="shared" si="7"/>
        <v>19.382575196030977</v>
      </c>
      <c r="M19" s="37">
        <f t="shared" si="7"/>
        <v>20.193430196030977</v>
      </c>
      <c r="N19" s="37">
        <f t="shared" si="7"/>
        <v>21.625210196030981</v>
      </c>
      <c r="O19" s="37">
        <f t="shared" si="7"/>
        <v>21.625210196030981</v>
      </c>
      <c r="P19" s="30" t="s">
        <v>178</v>
      </c>
    </row>
    <row r="20" spans="1:16" x14ac:dyDescent="0.25">
      <c r="A20" t="s">
        <v>148</v>
      </c>
      <c r="B20" s="291" t="s">
        <v>179</v>
      </c>
      <c r="C20" t="s">
        <v>180</v>
      </c>
      <c r="D20" s="29">
        <f>('Saisie 2_bovins'!G5*param_bovins!$D$41+'Saisie 2_bovins'!G6*param_bovins!$D$42+'Saisie 2_bovins'!G7*param_bovins!$D$43+'Saisie 2_bovins'!G8*param_bovins!$D$48+'Saisie 2_bovins'!G9*param_bovins!$D$47)/1000</f>
        <v>0.29138999999999998</v>
      </c>
      <c r="E20" s="29">
        <f>('Saisie 2_bovins'!H5*param_bovins!$D$41+'Saisie 2_bovins'!H6*param_bovins!$D$42+'Saisie 2_bovins'!H7*param_bovins!$D$43+'Saisie 2_bovins'!H8*param_bovins!$D$48+'Saisie 2_bovins'!H9*param_bovins!$D$47)/1000</f>
        <v>0.29138999999999998</v>
      </c>
      <c r="F20" s="29">
        <f>('Saisie 2_bovins'!I5*param_bovins!$D$41+'Saisie 2_bovins'!I6*param_bovins!$D$42+'Saisie 2_bovins'!I7*param_bovins!$D$43+'Saisie 2_bovins'!I8*param_bovins!$D$48+'Saisie 2_bovins'!I9*param_bovins!$D$47)/1000</f>
        <v>0.30951999999999996</v>
      </c>
      <c r="G20" s="29">
        <f>('Saisie 2_bovins'!J5*param_bovins!$D$41+'Saisie 2_bovins'!J6*param_bovins!$D$42+'Saisie 2_bovins'!J7*param_bovins!$D$43+'Saisie 2_bovins'!J8*param_bovins!$D$48+'Saisie 2_bovins'!J9*param_bovins!$D$47)/1000</f>
        <v>0.32651999999999998</v>
      </c>
      <c r="H20" s="29">
        <f>('Saisie 2_bovins'!K5*param_bovins!$D$41+'Saisie 2_bovins'!K6*param_bovins!$D$42+'Saisie 2_bovins'!K7*param_bovins!$D$43+'Saisie 2_bovins'!K8*param_bovins!$D$48+'Saisie 2_bovins'!K9*param_bovins!$D$47)/1000</f>
        <v>0.32651999999999998</v>
      </c>
      <c r="I20" s="29">
        <f>('Saisie 2_bovins'!L5*param_bovins!$D$41+'Saisie 2_bovins'!L6*param_bovins!$D$42+'Saisie 2_bovins'!L7*param_bovins!$D$43+'Saisie 2_bovins'!L8*param_bovins!$D$48+'Saisie 2_bovins'!L9*param_bovins!$D$47)/1000</f>
        <v>0.32701999999999998</v>
      </c>
      <c r="J20" s="29">
        <f>('Saisie 2_bovins'!M5*param_bovins!$D$41+'Saisie 2_bovins'!M6*param_bovins!$D$42+'Saisie 2_bovins'!M7*param_bovins!$D$43+'Saisie 2_bovins'!M8*param_bovins!$D$48+'Saisie 2_bovins'!M9*param_bovins!$D$47)/1000</f>
        <v>0.31242999999999999</v>
      </c>
      <c r="K20" s="29">
        <f>('Saisie 2_bovins'!N5*param_bovins!$D$41+'Saisie 2_bovins'!N6*param_bovins!$D$42+'Saisie 2_bovins'!N7*param_bovins!$D$43+'Saisie 2_bovins'!N8*param_bovins!$D$48+'Saisie 2_bovins'!N9*param_bovins!$D$47)/1000</f>
        <v>0.30792999999999998</v>
      </c>
      <c r="L20" s="29">
        <f>('Saisie 2_bovins'!O5*param_bovins!$D$41+'Saisie 2_bovins'!O6*param_bovins!$D$42+'Saisie 2_bovins'!O7*param_bovins!$D$43+'Saisie 2_bovins'!O8*param_bovins!$D$48+'Saisie 2_bovins'!O9*param_bovins!$D$47)/1000</f>
        <v>0.31192999999999999</v>
      </c>
      <c r="M20" s="29">
        <f>('Saisie 2_bovins'!P5*param_bovins!$D$41+'Saisie 2_bovins'!P6*param_bovins!$D$42+'Saisie 2_bovins'!P7*param_bovins!$D$43+'Saisie 2_bovins'!P8*param_bovins!$D$48+'Saisie 2_bovins'!P9*param_bovins!$D$47)/1000</f>
        <v>0.31439</v>
      </c>
      <c r="N20" s="29">
        <f>('Saisie 2_bovins'!Q5*param_bovins!$D$41+'Saisie 2_bovins'!Q6*param_bovins!$D$42+'Saisie 2_bovins'!Q7*param_bovins!$D$43+'Saisie 2_bovins'!Q8*param_bovins!$D$48+'Saisie 2_bovins'!Q9*param_bovins!$D$47)/1000</f>
        <v>0.29388999999999998</v>
      </c>
      <c r="O20" s="29">
        <f>('Saisie 2_bovins'!R5*param_bovins!$D$41+'Saisie 2_bovins'!R6*param_bovins!$D$42+'Saisie 2_bovins'!R7*param_bovins!$D$43+'Saisie 2_bovins'!R8*param_bovins!$D$48+'Saisie 2_bovins'!R9*param_bovins!$D$47)/1000</f>
        <v>0.29388999999999998</v>
      </c>
      <c r="P20" s="30"/>
    </row>
    <row r="21" spans="1:16" x14ac:dyDescent="0.25">
      <c r="A21" t="s">
        <v>181</v>
      </c>
      <c r="B21" s="291" t="s">
        <v>183</v>
      </c>
      <c r="C21" t="s">
        <v>180</v>
      </c>
      <c r="D21" s="29">
        <f>'Saisie 2_bovins'!$D$3*1.55/1.033/1000/365.25</f>
        <v>3.3686431272457899E-2</v>
      </c>
      <c r="E21" s="29">
        <f>'Saisie 2_bovins'!$D$3*1.55/1.033/1000/365.25</f>
        <v>3.3686431272457899E-2</v>
      </c>
      <c r="F21" s="29">
        <f>'Saisie 2_bovins'!$D$3*1.55/1.033/1000/365.25</f>
        <v>3.3686431272457899E-2</v>
      </c>
      <c r="G21" s="29">
        <f>'Saisie 2_bovins'!$D$3*1.55/1.033/1000/365.25</f>
        <v>3.3686431272457899E-2</v>
      </c>
      <c r="H21" s="29">
        <f>'Saisie 2_bovins'!$D$3*1.55/1.033/1000/365.25</f>
        <v>3.3686431272457899E-2</v>
      </c>
      <c r="I21" s="29">
        <f>'Saisie 2_bovins'!$D$3*1.55/1.033/1000/365.25</f>
        <v>3.3686431272457899E-2</v>
      </c>
      <c r="J21" s="29">
        <f>'Saisie 2_bovins'!$D$3*1.55/1.033/1000/365.25</f>
        <v>3.3686431272457899E-2</v>
      </c>
      <c r="K21" s="29">
        <f>'Saisie 2_bovins'!$D$3*1.55/1.033/1000/365.25</f>
        <v>3.3686431272457899E-2</v>
      </c>
      <c r="L21" s="29">
        <f>'Saisie 2_bovins'!$D$3*1.55/1.033/1000/365.25</f>
        <v>3.3686431272457899E-2</v>
      </c>
      <c r="M21" s="29">
        <f>'Saisie 2_bovins'!$D$3*1.55/1.033/1000/365.25</f>
        <v>3.3686431272457899E-2</v>
      </c>
      <c r="N21" s="29">
        <f>'Saisie 2_bovins'!$D$3*1.55/1.033/1000/365.25</f>
        <v>3.3686431272457899E-2</v>
      </c>
      <c r="O21" s="29">
        <f>'Saisie 2_bovins'!$D$3*1.55/1.033/1000/365.25</f>
        <v>3.3686431272457899E-2</v>
      </c>
      <c r="P21" s="30"/>
    </row>
    <row r="22" spans="1:16" x14ac:dyDescent="0.25">
      <c r="A22" t="s">
        <v>182</v>
      </c>
      <c r="B22" s="291" t="s">
        <v>184</v>
      </c>
      <c r="C22" t="s">
        <v>180</v>
      </c>
      <c r="D22" s="29">
        <f>4.1*50/1000/365.25</f>
        <v>5.6125941136208062E-4</v>
      </c>
      <c r="E22" s="29">
        <f t="shared" ref="E22:O22" si="8">4.1*50/1000/365.25</f>
        <v>5.6125941136208062E-4</v>
      </c>
      <c r="F22" s="29">
        <f t="shared" si="8"/>
        <v>5.6125941136208062E-4</v>
      </c>
      <c r="G22" s="29">
        <f t="shared" si="8"/>
        <v>5.6125941136208062E-4</v>
      </c>
      <c r="H22" s="29">
        <f t="shared" si="8"/>
        <v>5.6125941136208062E-4</v>
      </c>
      <c r="I22" s="29">
        <f t="shared" si="8"/>
        <v>5.6125941136208062E-4</v>
      </c>
      <c r="J22" s="29">
        <f t="shared" si="8"/>
        <v>5.6125941136208062E-4</v>
      </c>
      <c r="K22" s="29">
        <f t="shared" si="8"/>
        <v>5.6125941136208062E-4</v>
      </c>
      <c r="L22" s="29">
        <f t="shared" si="8"/>
        <v>5.6125941136208062E-4</v>
      </c>
      <c r="M22" s="29">
        <f t="shared" si="8"/>
        <v>5.6125941136208062E-4</v>
      </c>
      <c r="N22" s="29">
        <f t="shared" si="8"/>
        <v>5.6125941136208062E-4</v>
      </c>
      <c r="O22" s="557">
        <f t="shared" si="8"/>
        <v>5.6125941136208062E-4</v>
      </c>
      <c r="P22" s="30"/>
    </row>
    <row r="23" spans="1:16" x14ac:dyDescent="0.25">
      <c r="A23" t="s">
        <v>185</v>
      </c>
      <c r="B23" t="s">
        <v>186</v>
      </c>
      <c r="C23" t="s">
        <v>180</v>
      </c>
      <c r="D23" s="29">
        <f>D20-D21-D22</f>
        <v>0.25714230931617998</v>
      </c>
      <c r="E23" s="29">
        <f t="shared" ref="E23:O23" si="9">E20-E21-E22</f>
        <v>0.25714230931617998</v>
      </c>
      <c r="F23" s="29">
        <f t="shared" si="9"/>
        <v>0.27527230931617996</v>
      </c>
      <c r="G23" s="29">
        <f t="shared" si="9"/>
        <v>0.29227230931617998</v>
      </c>
      <c r="H23" s="29">
        <f t="shared" si="9"/>
        <v>0.29227230931617998</v>
      </c>
      <c r="I23" s="29">
        <f t="shared" si="9"/>
        <v>0.29277230931617998</v>
      </c>
      <c r="J23" s="29">
        <f t="shared" si="9"/>
        <v>0.27818230931617999</v>
      </c>
      <c r="K23" s="29">
        <f t="shared" si="9"/>
        <v>0.27368230931617998</v>
      </c>
      <c r="L23" s="29">
        <f t="shared" si="9"/>
        <v>0.27768230931617999</v>
      </c>
      <c r="M23" s="29">
        <f t="shared" si="9"/>
        <v>0.28014230931618</v>
      </c>
      <c r="N23" s="29">
        <f t="shared" si="9"/>
        <v>0.25964230931617999</v>
      </c>
      <c r="O23" s="29">
        <f t="shared" si="9"/>
        <v>0.25964230931617999</v>
      </c>
      <c r="P23" s="30"/>
    </row>
    <row r="24" spans="1:16" x14ac:dyDescent="0.25">
      <c r="A24" t="s">
        <v>185</v>
      </c>
      <c r="C24" t="s">
        <v>203</v>
      </c>
      <c r="D24" s="29">
        <f>D23*365.25/12</f>
        <v>7.8267690398112286</v>
      </c>
      <c r="E24" s="29">
        <f t="shared" ref="E24:O24" si="10">E23*365.25/12</f>
        <v>7.8267690398112286</v>
      </c>
      <c r="F24" s="29">
        <f t="shared" si="10"/>
        <v>8.3786009148112282</v>
      </c>
      <c r="G24" s="29">
        <f t="shared" si="10"/>
        <v>8.8960384148112279</v>
      </c>
      <c r="H24" s="29">
        <f t="shared" si="10"/>
        <v>8.8960384148112279</v>
      </c>
      <c r="I24" s="29">
        <f t="shared" si="10"/>
        <v>8.9112571648112286</v>
      </c>
      <c r="J24" s="29">
        <f t="shared" si="10"/>
        <v>8.4671740398112281</v>
      </c>
      <c r="K24" s="29">
        <f t="shared" si="10"/>
        <v>8.3302052898112287</v>
      </c>
      <c r="L24" s="29">
        <f t="shared" si="10"/>
        <v>8.4519552898112291</v>
      </c>
      <c r="M24" s="29">
        <f t="shared" si="10"/>
        <v>8.5268315398112282</v>
      </c>
      <c r="N24" s="29">
        <f t="shared" si="10"/>
        <v>7.9028627898112278</v>
      </c>
      <c r="O24" s="29">
        <f t="shared" si="10"/>
        <v>7.9028627898112278</v>
      </c>
      <c r="P24" s="30"/>
    </row>
    <row r="25" spans="1:16" x14ac:dyDescent="0.25">
      <c r="A25" s="36" t="s">
        <v>175</v>
      </c>
      <c r="B25" s="36" t="s">
        <v>187</v>
      </c>
      <c r="C25" s="36" t="s">
        <v>188</v>
      </c>
      <c r="D25" s="38">
        <f>D23*365.25</f>
        <v>93.921228477734743</v>
      </c>
      <c r="E25" s="38">
        <f t="shared" ref="E25:O25" si="11">E23*365.25</f>
        <v>93.921228477734743</v>
      </c>
      <c r="F25" s="38">
        <f t="shared" si="11"/>
        <v>100.54321097773473</v>
      </c>
      <c r="G25" s="38">
        <f t="shared" si="11"/>
        <v>106.75246097773474</v>
      </c>
      <c r="H25" s="38">
        <f t="shared" si="11"/>
        <v>106.75246097773474</v>
      </c>
      <c r="I25" s="38">
        <f t="shared" si="11"/>
        <v>106.93508597773474</v>
      </c>
      <c r="J25" s="38">
        <f t="shared" si="11"/>
        <v>101.60608847773474</v>
      </c>
      <c r="K25" s="38">
        <f t="shared" si="11"/>
        <v>99.962463477734744</v>
      </c>
      <c r="L25" s="38">
        <f t="shared" si="11"/>
        <v>101.42346347773474</v>
      </c>
      <c r="M25" s="38">
        <f t="shared" si="11"/>
        <v>102.32197847773475</v>
      </c>
      <c r="N25" s="38">
        <f t="shared" si="11"/>
        <v>94.834353477734737</v>
      </c>
      <c r="O25" s="38">
        <f t="shared" si="11"/>
        <v>94.834353477734737</v>
      </c>
      <c r="P25" s="30" t="s">
        <v>178</v>
      </c>
    </row>
    <row r="26" spans="1:16" x14ac:dyDescent="0.25">
      <c r="A26" s="9" t="s">
        <v>149</v>
      </c>
      <c r="B26" s="9" t="s">
        <v>191</v>
      </c>
      <c r="C26" s="9" t="s">
        <v>189</v>
      </c>
      <c r="D26" s="39">
        <f>('Saisie 2_bovins'!G5*param_bovins!$G$41+'Saisie 2_bovins'!G6*param_bovins!$G$42+'Saisie 2_bovins'!G7*param_bovins!$G$43+'Saisie 2_bovins'!G8*param_bovins!$G$48+'Saisie 2_bovins'!G9*param_bovins!$G$47)</f>
        <v>21.144000000000002</v>
      </c>
      <c r="E26" s="39">
        <f>('Saisie 2_bovins'!H5*param_bovins!$G$41+'Saisie 2_bovins'!H6*param_bovins!$G$42+'Saisie 2_bovins'!H7*param_bovins!$G$43+'Saisie 2_bovins'!H8*param_bovins!$G$48+'Saisie 2_bovins'!H9*param_bovins!$G$47)</f>
        <v>21.144000000000002</v>
      </c>
      <c r="F26" s="39">
        <f>('Saisie 2_bovins'!I5*param_bovins!$G$41+'Saisie 2_bovins'!I6*param_bovins!$G$42+'Saisie 2_bovins'!I7*param_bovins!$G$43+'Saisie 2_bovins'!I8*param_bovins!$G$48+'Saisie 2_bovins'!I9*param_bovins!$G$47)</f>
        <v>17.609000000000002</v>
      </c>
      <c r="G26" s="39">
        <f>('Saisie 2_bovins'!J5*param_bovins!$G$41+'Saisie 2_bovins'!J6*param_bovins!$G$42+'Saisie 2_bovins'!J7*param_bovins!$G$43+'Saisie 2_bovins'!J8*param_bovins!$G$48+'Saisie 2_bovins'!J9*param_bovins!$G$47)</f>
        <v>17.599</v>
      </c>
      <c r="H26" s="39">
        <f>('Saisie 2_bovins'!K5*param_bovins!$G$41+'Saisie 2_bovins'!K6*param_bovins!$G$42+'Saisie 2_bovins'!K7*param_bovins!$G$43+'Saisie 2_bovins'!K8*param_bovins!$G$48+'Saisie 2_bovins'!K9*param_bovins!$G$47)</f>
        <v>17.599</v>
      </c>
      <c r="I26" s="39">
        <f>('Saisie 2_bovins'!L5*param_bovins!$G$41+'Saisie 2_bovins'!L6*param_bovins!$G$42+'Saisie 2_bovins'!L7*param_bovins!$G$43+'Saisie 2_bovins'!L8*param_bovins!$G$48+'Saisie 2_bovins'!L9*param_bovins!$G$47)</f>
        <v>18.421000000000003</v>
      </c>
      <c r="J26" s="39">
        <f>('Saisie 2_bovins'!M5*param_bovins!$G$41+'Saisie 2_bovins'!M6*param_bovins!$G$42+'Saisie 2_bovins'!M7*param_bovins!$G$43+'Saisie 2_bovins'!M8*param_bovins!$G$48+'Saisie 2_bovins'!M9*param_bovins!$G$47)</f>
        <v>19.837999999999997</v>
      </c>
      <c r="K26" s="39">
        <f>('Saisie 2_bovins'!N5*param_bovins!$G$41+'Saisie 2_bovins'!N6*param_bovins!$G$42+'Saisie 2_bovins'!N7*param_bovins!$G$43+'Saisie 2_bovins'!N8*param_bovins!$G$48+'Saisie 2_bovins'!N9*param_bovins!$G$47)</f>
        <v>19.757999999999999</v>
      </c>
      <c r="L26" s="39">
        <f>('Saisie 2_bovins'!O5*param_bovins!$G$41+'Saisie 2_bovins'!O6*param_bovins!$G$42+'Saisie 2_bovins'!O7*param_bovins!$G$43+'Saisie 2_bovins'!O8*param_bovins!$G$48+'Saisie 2_bovins'!O9*param_bovins!$G$47)</f>
        <v>19.66</v>
      </c>
      <c r="M26" s="39">
        <f>('Saisie 2_bovins'!P5*param_bovins!$G$41+'Saisie 2_bovins'!P6*param_bovins!$G$42+'Saisie 2_bovins'!P7*param_bovins!$G$43+'Saisie 2_bovins'!P8*param_bovins!$G$48+'Saisie 2_bovins'!P9*param_bovins!$G$47)</f>
        <v>20.356000000000002</v>
      </c>
      <c r="N26" s="39">
        <f>('Saisie 2_bovins'!Q5*param_bovins!$G$41+'Saisie 2_bovins'!Q6*param_bovins!$G$42+'Saisie 2_bovins'!Q7*param_bovins!$G$43+'Saisie 2_bovins'!Q8*param_bovins!$G$48+'Saisie 2_bovins'!Q9*param_bovins!$G$47)</f>
        <v>21.26</v>
      </c>
      <c r="O26" s="39">
        <f>('Saisie 2_bovins'!R5*param_bovins!$G$41+'Saisie 2_bovins'!R6*param_bovins!$G$42+'Saisie 2_bovins'!R7*param_bovins!$G$43+'Saisie 2_bovins'!R8*param_bovins!$G$48+'Saisie 2_bovins'!R9*param_bovins!$G$47)</f>
        <v>21.26</v>
      </c>
      <c r="P26" s="30"/>
    </row>
    <row r="27" spans="1:16" x14ac:dyDescent="0.25">
      <c r="A27" s="36" t="s">
        <v>192</v>
      </c>
      <c r="B27" s="36" t="s">
        <v>194</v>
      </c>
      <c r="C27" s="36" t="s">
        <v>189</v>
      </c>
      <c r="D27" s="41">
        <f>0.041*('Saisie 2_bovins'!$D$6^(0.75))</f>
        <v>5.5796555160060741</v>
      </c>
      <c r="E27" s="41">
        <f>0.041*('Saisie 2_bovins'!$D$6^(0.75))</f>
        <v>5.5796555160060741</v>
      </c>
      <c r="F27" s="41">
        <f>0.041*('Saisie 2_bovins'!$D$6^(0.75))</f>
        <v>5.5796555160060741</v>
      </c>
      <c r="G27" s="41">
        <f>0.041*('Saisie 2_bovins'!$D$6^(0.75))</f>
        <v>5.5796555160060741</v>
      </c>
      <c r="H27" s="41">
        <f>0.041*('Saisie 2_bovins'!$D$6^(0.75))</f>
        <v>5.5796555160060741</v>
      </c>
      <c r="I27" s="41">
        <f>0.041*('Saisie 2_bovins'!$D$6^(0.75))</f>
        <v>5.5796555160060741</v>
      </c>
      <c r="J27" s="41">
        <f>0.041*('Saisie 2_bovins'!$D$6^(0.75))</f>
        <v>5.5796555160060741</v>
      </c>
      <c r="K27" s="41">
        <f>0.041*('Saisie 2_bovins'!$D$6^(0.75))</f>
        <v>5.5796555160060741</v>
      </c>
      <c r="L27" s="41">
        <f>0.041*('Saisie 2_bovins'!$D$6^(0.75))</f>
        <v>5.5796555160060741</v>
      </c>
      <c r="M27" s="41">
        <f>0.041*('Saisie 2_bovins'!$D$6^(0.75))</f>
        <v>5.5796555160060741</v>
      </c>
      <c r="N27" s="41">
        <f>0.041*('Saisie 2_bovins'!$D$6^(0.75))</f>
        <v>5.5796555160060741</v>
      </c>
      <c r="O27" s="41">
        <f>0.041*('Saisie 2_bovins'!$D$6^(0.75))</f>
        <v>5.5796555160060741</v>
      </c>
      <c r="P27" s="30"/>
    </row>
    <row r="28" spans="1:16" x14ac:dyDescent="0.25">
      <c r="A28" s="36" t="s">
        <v>196</v>
      </c>
      <c r="B28" s="36" t="s">
        <v>199</v>
      </c>
      <c r="C28" s="36" t="s">
        <v>197</v>
      </c>
      <c r="D28" s="41">
        <f>'Saisie 2_bovins'!D4/1.033</f>
        <v>32.333010648596321</v>
      </c>
      <c r="E28" s="41"/>
      <c r="F28" s="41"/>
      <c r="G28" s="41"/>
      <c r="H28" s="41"/>
      <c r="I28" s="41"/>
      <c r="J28" s="41"/>
      <c r="K28" s="41"/>
      <c r="L28" s="41"/>
      <c r="M28" s="41"/>
      <c r="N28" s="41"/>
      <c r="O28" s="41"/>
      <c r="P28" s="30"/>
    </row>
    <row r="29" spans="1:16" x14ac:dyDescent="0.25">
      <c r="A29" s="36" t="s">
        <v>195</v>
      </c>
      <c r="B29" s="36" t="s">
        <v>198</v>
      </c>
      <c r="C29" s="36" t="s">
        <v>197</v>
      </c>
      <c r="D29" s="41">
        <f>'Saisie 2_bovins'!D5/1.033</f>
        <v>40.271055179090034</v>
      </c>
      <c r="E29" s="41"/>
      <c r="F29" s="41"/>
      <c r="G29" s="41"/>
      <c r="H29" s="41"/>
      <c r="I29" s="41"/>
      <c r="J29" s="41"/>
      <c r="K29" s="41"/>
      <c r="L29" s="41"/>
      <c r="M29" s="41"/>
      <c r="N29" s="41"/>
      <c r="O29" s="41"/>
      <c r="P29" s="30"/>
    </row>
    <row r="30" spans="1:16" x14ac:dyDescent="0.25">
      <c r="A30" s="36" t="s">
        <v>193</v>
      </c>
      <c r="B30" s="36" t="s">
        <v>194</v>
      </c>
      <c r="C30" s="36" t="s">
        <v>189</v>
      </c>
      <c r="D30" s="41">
        <f>(0.44+(0.0055*($D$29-40))+(0.0033*($D$28-31)))*('Saisie 2_bovins'!$D$3/305)</f>
        <v>11.987855267960581</v>
      </c>
      <c r="E30" s="41">
        <f>(0.44+(0.0055*($D$29-40))+(0.0033*($D$28-31)))*('Saisie 2_bovins'!$D$3/305)</f>
        <v>11.987855267960581</v>
      </c>
      <c r="F30" s="41">
        <f>(0.44+(0.0055*($D$29-40))+(0.0033*($D$28-31)))*('Saisie 2_bovins'!$D$3/305)</f>
        <v>11.987855267960581</v>
      </c>
      <c r="G30" s="41">
        <f>(0.44+(0.0055*($D$29-40))+(0.0033*($D$28-31)))*('Saisie 2_bovins'!$D$3/305)</f>
        <v>11.987855267960581</v>
      </c>
      <c r="H30" s="41">
        <f>(0.44+(0.0055*($D$29-40))+(0.0033*($D$28-31)))*('Saisie 2_bovins'!$D$3/305)</f>
        <v>11.987855267960581</v>
      </c>
      <c r="I30" s="41">
        <f>(0.44+(0.0055*($D$29-40))+(0.0033*($D$28-31)))*('Saisie 2_bovins'!$D$3/305)</f>
        <v>11.987855267960581</v>
      </c>
      <c r="J30" s="41">
        <f>(0.44+(0.0055*($D$29-40))+(0.0033*($D$28-31)))*('Saisie 2_bovins'!$D$3/305)</f>
        <v>11.987855267960581</v>
      </c>
      <c r="K30" s="41">
        <f>(0.44+(0.0055*($D$29-40))+(0.0033*($D$28-31)))*('Saisie 2_bovins'!$D$3/305)</f>
        <v>11.987855267960581</v>
      </c>
      <c r="L30" s="41">
        <f>(0.44+(0.0055*($D$29-40))+(0.0033*($D$28-31)))*('Saisie 2_bovins'!$D$3/305)</f>
        <v>11.987855267960581</v>
      </c>
      <c r="M30" s="41">
        <f>(0.44+(0.0055*($D$29-40))+(0.0033*($D$28-31)))*('Saisie 2_bovins'!$D$3/305)</f>
        <v>11.987855267960581</v>
      </c>
      <c r="N30" s="41">
        <f>(0.44+(0.0055*($D$29-40))+(0.0033*($D$28-31)))*('Saisie 2_bovins'!$D$3/305)</f>
        <v>11.987855267960581</v>
      </c>
      <c r="O30" s="41">
        <f>(0.44+(0.0055*($D$29-40))+(0.0033*($D$28-31)))*('Saisie 2_bovins'!$D$3/305)</f>
        <v>11.987855267960581</v>
      </c>
      <c r="P30" s="30"/>
    </row>
    <row r="31" spans="1:16" x14ac:dyDescent="0.25">
      <c r="A31" s="36" t="s">
        <v>200</v>
      </c>
      <c r="B31" s="36"/>
      <c r="C31" s="36" t="s">
        <v>189</v>
      </c>
      <c r="D31" s="41">
        <f>D26-D27-D30</f>
        <v>3.5764892160333464</v>
      </c>
      <c r="E31" s="41">
        <f t="shared" ref="E31:O31" si="12">E26-E27-E30</f>
        <v>3.5764892160333464</v>
      </c>
      <c r="F31" s="41">
        <f t="shared" si="12"/>
        <v>4.148921603334621E-2</v>
      </c>
      <c r="G31" s="41">
        <f t="shared" si="12"/>
        <v>3.1489216033344647E-2</v>
      </c>
      <c r="H31" s="41">
        <f t="shared" si="12"/>
        <v>3.1489216033344647E-2</v>
      </c>
      <c r="I31" s="41">
        <f t="shared" si="12"/>
        <v>0.85348921603334738</v>
      </c>
      <c r="J31" s="41">
        <f t="shared" si="12"/>
        <v>2.2704892160333419</v>
      </c>
      <c r="K31" s="41">
        <f t="shared" si="12"/>
        <v>2.1904892160333436</v>
      </c>
      <c r="L31" s="41">
        <f t="shared" si="12"/>
        <v>2.0924892160333446</v>
      </c>
      <c r="M31" s="41">
        <f t="shared" si="12"/>
        <v>2.7884892160333461</v>
      </c>
      <c r="N31" s="41">
        <f t="shared" si="12"/>
        <v>3.692489216033346</v>
      </c>
      <c r="O31" s="41">
        <f t="shared" si="12"/>
        <v>3.692489216033346</v>
      </c>
      <c r="P31" s="30" t="s">
        <v>190</v>
      </c>
    </row>
    <row r="32" spans="1:16" x14ac:dyDescent="0.25">
      <c r="A32" s="42"/>
      <c r="B32" s="42"/>
      <c r="C32" s="42"/>
      <c r="D32" s="43"/>
      <c r="E32" s="43"/>
      <c r="F32" s="43"/>
      <c r="G32" s="43"/>
      <c r="H32" s="43"/>
      <c r="I32" s="43"/>
      <c r="J32" s="43"/>
      <c r="K32" s="43"/>
      <c r="L32" s="43"/>
      <c r="M32" s="43"/>
      <c r="N32" s="43"/>
      <c r="O32" s="43"/>
      <c r="P32" s="245" t="s">
        <v>754</v>
      </c>
    </row>
    <row r="33" spans="1:16" x14ac:dyDescent="0.25">
      <c r="A33" s="42" t="s">
        <v>265</v>
      </c>
      <c r="B33" s="42"/>
      <c r="C33" s="42" t="s">
        <v>264</v>
      </c>
      <c r="D33" s="43">
        <f>'Feuille saisie commune'!G6</f>
        <v>1</v>
      </c>
      <c r="E33" s="43"/>
      <c r="F33" s="43"/>
      <c r="G33" s="43"/>
      <c r="H33" s="43"/>
      <c r="I33" s="43"/>
      <c r="J33" s="43"/>
      <c r="K33" s="43"/>
      <c r="L33" s="43"/>
      <c r="M33" s="43"/>
      <c r="N33" s="43"/>
      <c r="O33" s="43"/>
      <c r="P33" s="30"/>
    </row>
    <row r="34" spans="1:16" s="33" customFormat="1" x14ac:dyDescent="0.25">
      <c r="A34" s="33" t="s">
        <v>262</v>
      </c>
      <c r="B34" s="291" t="s">
        <v>266</v>
      </c>
      <c r="C34" s="47" t="s">
        <v>263</v>
      </c>
      <c r="D34" s="40">
        <f>$D$33*D39*D40*365.25/12</f>
        <v>1400.125</v>
      </c>
      <c r="E34" s="40">
        <f t="shared" ref="E34:O34" si="13">$D$33*E39*E40*365.25/12</f>
        <v>1400.125</v>
      </c>
      <c r="F34" s="40">
        <f t="shared" si="13"/>
        <v>700.0625</v>
      </c>
      <c r="G34" s="40">
        <f t="shared" si="13"/>
        <v>350.03125</v>
      </c>
      <c r="H34" s="40">
        <f t="shared" si="13"/>
        <v>350.03125</v>
      </c>
      <c r="I34" s="40">
        <f t="shared" si="13"/>
        <v>350.03125</v>
      </c>
      <c r="J34" s="40">
        <f t="shared" si="13"/>
        <v>350.03125</v>
      </c>
      <c r="K34" s="40">
        <f t="shared" si="13"/>
        <v>408.36979166666669</v>
      </c>
      <c r="L34" s="40">
        <f t="shared" si="13"/>
        <v>583.38541666666663</v>
      </c>
      <c r="M34" s="40">
        <f t="shared" si="13"/>
        <v>583.38541666666663</v>
      </c>
      <c r="N34" s="40">
        <f t="shared" si="13"/>
        <v>1400.125</v>
      </c>
      <c r="O34" s="40">
        <f t="shared" si="13"/>
        <v>1400.125</v>
      </c>
      <c r="P34" s="35"/>
    </row>
    <row r="35" spans="1:16" s="33" customFormat="1" x14ac:dyDescent="0.25">
      <c r="A35" s="33" t="s">
        <v>267</v>
      </c>
      <c r="B35" s="291" t="s">
        <v>270</v>
      </c>
      <c r="C35" t="s">
        <v>246</v>
      </c>
      <c r="D35" s="40">
        <f>D34*param_bovins!$D$160*param_bovins!$A$160/1000</f>
        <v>6.8998159999999986</v>
      </c>
      <c r="E35" s="40">
        <f>E34*param_bovins!$D$160*param_bovins!$A$160/1000</f>
        <v>6.8998159999999986</v>
      </c>
      <c r="F35" s="40">
        <f>F34*param_bovins!$D$160*param_bovins!$A$160/1000</f>
        <v>3.4499079999999993</v>
      </c>
      <c r="G35" s="40">
        <f>G34*param_bovins!$D$160*param_bovins!$A$160/1000</f>
        <v>1.7249539999999997</v>
      </c>
      <c r="H35" s="40">
        <f>H34*param_bovins!$D$160*param_bovins!$A$160/1000</f>
        <v>1.7249539999999997</v>
      </c>
      <c r="I35" s="40">
        <f>I34*param_bovins!$D$160*param_bovins!$A$160/1000</f>
        <v>1.7249539999999997</v>
      </c>
      <c r="J35" s="40">
        <f>J34*param_bovins!$D$160*param_bovins!$A$160/1000</f>
        <v>1.7249539999999997</v>
      </c>
      <c r="K35" s="40">
        <f>K34*param_bovins!$D$160*param_bovins!$A$160/1000</f>
        <v>2.0124463333333331</v>
      </c>
      <c r="L35" s="40">
        <f>L34*param_bovins!$D$160*param_bovins!$A$160/1000</f>
        <v>2.8749233333333328</v>
      </c>
      <c r="M35" s="40">
        <f>M34*param_bovins!$D$160*param_bovins!$A$160/1000</f>
        <v>2.8749233333333328</v>
      </c>
      <c r="N35" s="40">
        <f>N34*param_bovins!$D$160*param_bovins!$A$160/1000</f>
        <v>6.8998159999999986</v>
      </c>
      <c r="O35" s="40">
        <f>O34*param_bovins!$D$160*param_bovins!$A$160/1000</f>
        <v>6.8998159999999986</v>
      </c>
      <c r="P35" s="35"/>
    </row>
    <row r="36" spans="1:16" s="33" customFormat="1" x14ac:dyDescent="0.25">
      <c r="A36" s="33" t="s">
        <v>268</v>
      </c>
      <c r="C36" t="s">
        <v>249</v>
      </c>
      <c r="D36" s="40">
        <f>D34*param_bovins!$D$160*param_bovins!$B$160/1000</f>
        <v>1.2321099999999998</v>
      </c>
      <c r="E36" s="40">
        <f>E34*param_bovins!$D$160*param_bovins!$B$160/1000</f>
        <v>1.2321099999999998</v>
      </c>
      <c r="F36" s="40">
        <f>F34*param_bovins!$D$160*param_bovins!$B$160/1000</f>
        <v>0.61605499999999991</v>
      </c>
      <c r="G36" s="40">
        <f>G34*param_bovins!$D$160*param_bovins!$B$160/1000</f>
        <v>0.30802749999999995</v>
      </c>
      <c r="H36" s="40">
        <f>H34*param_bovins!$D$160*param_bovins!$B$160/1000</f>
        <v>0.30802749999999995</v>
      </c>
      <c r="I36" s="40">
        <f>I34*param_bovins!$D$160*param_bovins!$B$160/1000</f>
        <v>0.30802749999999995</v>
      </c>
      <c r="J36" s="40">
        <f>J34*param_bovins!$D$160*param_bovins!$B$160/1000</f>
        <v>0.30802749999999995</v>
      </c>
      <c r="K36" s="40">
        <f>K34*param_bovins!$D$160*param_bovins!$B$160/1000</f>
        <v>0.35936541666666671</v>
      </c>
      <c r="L36" s="40">
        <f>L34*param_bovins!$D$160*param_bovins!$B$160/1000</f>
        <v>0.51337916666666661</v>
      </c>
      <c r="M36" s="40">
        <f>M34*param_bovins!$D$160*param_bovins!$B$160/1000</f>
        <v>0.51337916666666661</v>
      </c>
      <c r="N36" s="40">
        <f>N34*param_bovins!$D$160*param_bovins!$B$160/1000</f>
        <v>1.2321099999999998</v>
      </c>
      <c r="O36" s="40">
        <f>O34*param_bovins!$D$160*param_bovins!$B$160/1000</f>
        <v>1.2321099999999998</v>
      </c>
      <c r="P36" s="35"/>
    </row>
    <row r="37" spans="1:16" s="33" customFormat="1" x14ac:dyDescent="0.25">
      <c r="A37" s="33" t="s">
        <v>269</v>
      </c>
      <c r="C37" t="s">
        <v>271</v>
      </c>
      <c r="D37" s="40">
        <f>D34*param_bovins!$D$160*param_bovins!$C$160/1000</f>
        <v>10.585796276000002</v>
      </c>
      <c r="E37" s="40">
        <f>E34*param_bovins!$D$160*param_bovins!$C$160/1000</f>
        <v>10.585796276000002</v>
      </c>
      <c r="F37" s="40">
        <f>F34*param_bovins!$D$160*param_bovins!$C$160/1000</f>
        <v>5.2928981380000009</v>
      </c>
      <c r="G37" s="40">
        <f>G34*param_bovins!$D$160*param_bovins!$C$160/1000</f>
        <v>2.6464490690000004</v>
      </c>
      <c r="H37" s="40">
        <f>H34*param_bovins!$D$160*param_bovins!$C$160/1000</f>
        <v>2.6464490690000004</v>
      </c>
      <c r="I37" s="40">
        <f>I34*param_bovins!$D$160*param_bovins!$C$160/1000</f>
        <v>2.6464490690000004</v>
      </c>
      <c r="J37" s="40">
        <f>J34*param_bovins!$D$160*param_bovins!$C$160/1000</f>
        <v>2.6464490690000004</v>
      </c>
      <c r="K37" s="40">
        <f>K34*param_bovins!$D$160*param_bovins!$C$160/1000</f>
        <v>3.0875239138333339</v>
      </c>
      <c r="L37" s="40">
        <f>L34*param_bovins!$D$160*param_bovins!$C$160/1000</f>
        <v>4.4107484483333339</v>
      </c>
      <c r="M37" s="40">
        <f>M34*param_bovins!$D$160*param_bovins!$C$160/1000</f>
        <v>4.4107484483333339</v>
      </c>
      <c r="N37" s="40">
        <f>N34*param_bovins!$D$160*param_bovins!$C$160/1000</f>
        <v>10.585796276000002</v>
      </c>
      <c r="O37" s="40">
        <f>O34*param_bovins!$D$160*param_bovins!$C$160/1000</f>
        <v>10.585796276000002</v>
      </c>
      <c r="P37" s="35"/>
    </row>
    <row r="38" spans="1:16" x14ac:dyDescent="0.25">
      <c r="A38" s="9"/>
      <c r="B38" s="9"/>
      <c r="C38" s="9"/>
      <c r="D38" s="39"/>
      <c r="E38" s="39"/>
      <c r="F38" s="39"/>
      <c r="G38" s="39"/>
      <c r="H38" s="39"/>
      <c r="I38" s="39"/>
      <c r="J38" s="39"/>
      <c r="K38" s="39"/>
      <c r="L38" s="39"/>
      <c r="M38" s="39"/>
      <c r="N38" s="39"/>
      <c r="O38" s="39"/>
      <c r="P38" s="30"/>
    </row>
    <row r="39" spans="1:16" x14ac:dyDescent="0.25">
      <c r="A39" t="s">
        <v>216</v>
      </c>
      <c r="B39" s="33"/>
      <c r="C39" s="33" t="s">
        <v>217</v>
      </c>
      <c r="D39" s="40">
        <f>'Feuille saisie commune'!$E$6</f>
        <v>46</v>
      </c>
      <c r="E39" s="40">
        <f>'Feuille saisie commune'!$E$6</f>
        <v>46</v>
      </c>
      <c r="F39" s="40">
        <f>'Feuille saisie commune'!$E$6</f>
        <v>46</v>
      </c>
      <c r="G39" s="40">
        <f>'Feuille saisie commune'!$E$6</f>
        <v>46</v>
      </c>
      <c r="H39" s="40">
        <f>'Feuille saisie commune'!$E$6</f>
        <v>46</v>
      </c>
      <c r="I39" s="40">
        <f>'Feuille saisie commune'!$E$6</f>
        <v>46</v>
      </c>
      <c r="J39" s="40">
        <f>'Feuille saisie commune'!$E$6</f>
        <v>46</v>
      </c>
      <c r="K39" s="40">
        <f>'Feuille saisie commune'!$E$6</f>
        <v>46</v>
      </c>
      <c r="L39" s="40">
        <f>'Feuille saisie commune'!$E$6</f>
        <v>46</v>
      </c>
      <c r="M39" s="40">
        <f>'Feuille saisie commune'!$E$6</f>
        <v>46</v>
      </c>
      <c r="N39" s="40">
        <f>'Feuille saisie commune'!$E$6</f>
        <v>46</v>
      </c>
      <c r="O39" s="40">
        <f>'Feuille saisie commune'!$E$6</f>
        <v>46</v>
      </c>
      <c r="P39" s="30"/>
    </row>
    <row r="40" spans="1:16" s="33" customFormat="1" x14ac:dyDescent="0.25">
      <c r="A40" s="33" t="s">
        <v>204</v>
      </c>
      <c r="B40" s="33" t="s">
        <v>206</v>
      </c>
      <c r="C40" s="33" t="s">
        <v>205</v>
      </c>
      <c r="D40" s="40">
        <f>'Saisie 2_bovins'!G3/24</f>
        <v>1</v>
      </c>
      <c r="E40" s="40">
        <f>'Saisie 2_bovins'!H3/24</f>
        <v>1</v>
      </c>
      <c r="F40" s="40">
        <f>'Saisie 2_bovins'!I3/24</f>
        <v>0.5</v>
      </c>
      <c r="G40" s="40">
        <f>'Saisie 2_bovins'!J3/24</f>
        <v>0.25</v>
      </c>
      <c r="H40" s="40">
        <f>'Saisie 2_bovins'!K3/24</f>
        <v>0.25</v>
      </c>
      <c r="I40" s="40">
        <f>'Saisie 2_bovins'!L3/24</f>
        <v>0.25</v>
      </c>
      <c r="J40" s="40">
        <f>'Saisie 2_bovins'!M3/24</f>
        <v>0.25</v>
      </c>
      <c r="K40" s="40">
        <f>'Saisie 2_bovins'!N3/24</f>
        <v>0.29166666666666669</v>
      </c>
      <c r="L40" s="40">
        <f>'Saisie 2_bovins'!O3/24</f>
        <v>0.41666666666666669</v>
      </c>
      <c r="M40" s="40">
        <f>'Saisie 2_bovins'!P3/24</f>
        <v>0.41666666666666669</v>
      </c>
      <c r="N40" s="40">
        <f>'Saisie 2_bovins'!Q3/24</f>
        <v>1</v>
      </c>
      <c r="O40" s="40">
        <f>'Saisie 2_bovins'!R3/24</f>
        <v>1</v>
      </c>
      <c r="P40" s="35"/>
    </row>
    <row r="41" spans="1:16" x14ac:dyDescent="0.25">
      <c r="A41" s="291" t="s">
        <v>1030</v>
      </c>
      <c r="B41" s="291" t="s">
        <v>223</v>
      </c>
      <c r="C41" t="s">
        <v>213</v>
      </c>
      <c r="D41" s="40">
        <f>D40*D12*D39</f>
        <v>624.33085974797132</v>
      </c>
      <c r="E41" s="40">
        <f t="shared" ref="E41:O41" si="14">E40*E12*E39</f>
        <v>624.33085974797132</v>
      </c>
      <c r="F41" s="40">
        <f t="shared" si="14"/>
        <v>184.41102424898577</v>
      </c>
      <c r="G41" s="40">
        <f t="shared" si="14"/>
        <v>96.020852749492875</v>
      </c>
      <c r="H41" s="40">
        <f t="shared" si="14"/>
        <v>96.020852749492875</v>
      </c>
      <c r="I41" s="40">
        <f t="shared" si="14"/>
        <v>112.59133212449291</v>
      </c>
      <c r="J41" s="40">
        <f t="shared" si="14"/>
        <v>135.73189806199287</v>
      </c>
      <c r="K41" s="40">
        <f t="shared" si="14"/>
        <v>156.88374982232503</v>
      </c>
      <c r="L41" s="40">
        <f t="shared" si="14"/>
        <v>231.78532697832151</v>
      </c>
      <c r="M41" s="40">
        <f t="shared" si="14"/>
        <v>238.22590197832142</v>
      </c>
      <c r="N41" s="40">
        <f t="shared" si="14"/>
        <v>635.97989974797167</v>
      </c>
      <c r="O41" s="40">
        <f t="shared" si="14"/>
        <v>635.97989974797167</v>
      </c>
      <c r="P41" s="30"/>
    </row>
    <row r="42" spans="1:16" x14ac:dyDescent="0.25">
      <c r="A42" s="291" t="s">
        <v>1031</v>
      </c>
      <c r="B42" s="291" t="s">
        <v>224</v>
      </c>
      <c r="C42" t="s">
        <v>214</v>
      </c>
      <c r="D42" s="40">
        <f>D40*D18*D39</f>
        <v>81.804541584785426</v>
      </c>
      <c r="E42" s="40">
        <f t="shared" ref="E42:O42" si="15">E40*E18*E39</f>
        <v>81.804541584785426</v>
      </c>
      <c r="F42" s="40">
        <f t="shared" si="15"/>
        <v>28.455159542392714</v>
      </c>
      <c r="G42" s="40">
        <f t="shared" si="15"/>
        <v>14.647617271196356</v>
      </c>
      <c r="H42" s="40">
        <f t="shared" si="15"/>
        <v>14.647617271196356</v>
      </c>
      <c r="I42" s="40">
        <f t="shared" si="15"/>
        <v>16.138750396196357</v>
      </c>
      <c r="J42" s="40">
        <f t="shared" si="15"/>
        <v>18.22143633369636</v>
      </c>
      <c r="K42" s="40">
        <f t="shared" si="15"/>
        <v>21.11541296222908</v>
      </c>
      <c r="L42" s="40">
        <f t="shared" si="15"/>
        <v>30.958279826993927</v>
      </c>
      <c r="M42" s="40">
        <f t="shared" si="15"/>
        <v>32.253395451993924</v>
      </c>
      <c r="N42" s="40">
        <f t="shared" si="15"/>
        <v>82.89663908478542</v>
      </c>
      <c r="O42" s="40">
        <f t="shared" si="15"/>
        <v>82.89663908478542</v>
      </c>
      <c r="P42" s="30"/>
    </row>
    <row r="43" spans="1:16" x14ac:dyDescent="0.25">
      <c r="A43" s="291" t="s">
        <v>1032</v>
      </c>
      <c r="B43" t="s">
        <v>225</v>
      </c>
      <c r="C43" t="s">
        <v>215</v>
      </c>
      <c r="D43" s="40">
        <f>D40*D24*D39</f>
        <v>360.0313758313165</v>
      </c>
      <c r="E43" s="40">
        <f t="shared" ref="E43:O43" si="16">E40*E24*E39</f>
        <v>360.0313758313165</v>
      </c>
      <c r="F43" s="40">
        <f t="shared" si="16"/>
        <v>192.70782104065825</v>
      </c>
      <c r="G43" s="40">
        <f t="shared" si="16"/>
        <v>102.30444177032912</v>
      </c>
      <c r="H43" s="40">
        <f t="shared" si="16"/>
        <v>102.30444177032912</v>
      </c>
      <c r="I43" s="40">
        <f t="shared" si="16"/>
        <v>102.47945739532913</v>
      </c>
      <c r="J43" s="40">
        <f t="shared" si="16"/>
        <v>97.372501457829117</v>
      </c>
      <c r="K43" s="40">
        <f t="shared" si="16"/>
        <v>111.76358763830066</v>
      </c>
      <c r="L43" s="40">
        <f t="shared" si="16"/>
        <v>161.9958097213819</v>
      </c>
      <c r="M43" s="40">
        <f t="shared" si="16"/>
        <v>163.43093784638188</v>
      </c>
      <c r="N43" s="40">
        <f t="shared" si="16"/>
        <v>363.5316883313165</v>
      </c>
      <c r="O43" s="40">
        <f t="shared" si="16"/>
        <v>363.5316883313165</v>
      </c>
      <c r="P43" s="30"/>
    </row>
    <row r="44" spans="1:16" x14ac:dyDescent="0.25">
      <c r="A44" s="33"/>
      <c r="D44" s="40"/>
      <c r="E44" s="40"/>
      <c r="F44" s="40"/>
      <c r="G44" s="40"/>
      <c r="H44" s="40"/>
      <c r="I44" s="40"/>
      <c r="J44" s="40"/>
      <c r="K44" s="40"/>
      <c r="L44" s="40"/>
      <c r="M44" s="40"/>
      <c r="N44" s="40"/>
      <c r="O44" s="40"/>
      <c r="P44" s="30"/>
    </row>
    <row r="45" spans="1:16" x14ac:dyDescent="0.25">
      <c r="A45" t="s">
        <v>5</v>
      </c>
      <c r="D45" s="93" t="str">
        <f>'Feuille saisie commune'!F6</f>
        <v>Logette, lisier</v>
      </c>
      <c r="E45" s="40"/>
      <c r="F45" s="40"/>
      <c r="G45" s="40"/>
      <c r="H45" s="40"/>
      <c r="I45" s="40"/>
      <c r="J45" s="40"/>
      <c r="K45" s="40"/>
      <c r="L45" s="40"/>
      <c r="M45" s="40"/>
      <c r="N45" s="40"/>
      <c r="O45" s="40"/>
      <c r="P45" s="30" t="s">
        <v>792</v>
      </c>
    </row>
    <row r="46" spans="1:16" x14ac:dyDescent="0.25">
      <c r="A46" s="33"/>
      <c r="D46" s="40"/>
      <c r="E46" s="40"/>
      <c r="F46" s="40"/>
      <c r="G46" s="40"/>
      <c r="H46" s="40"/>
      <c r="I46" s="40"/>
      <c r="J46" s="40"/>
      <c r="K46" s="40"/>
      <c r="L46" s="40"/>
      <c r="M46" s="40"/>
      <c r="N46" s="40"/>
      <c r="O46" s="40"/>
      <c r="P46" s="30"/>
    </row>
    <row r="47" spans="1:16" x14ac:dyDescent="0.25">
      <c r="A47" t="s">
        <v>242</v>
      </c>
      <c r="C47" t="s">
        <v>205</v>
      </c>
      <c r="D47" s="94">
        <f>IF(D45="Logette, lisier",param_bovins!B63,IF(D45="Etable entravée, lisier",param_bovins!B64,IF(D45="Litière accumulée, couloir lisier",param_bovins!B65,IF(D45="Logette, mixte lisier/fumier",param_bovins!B66,IF(D45="Etable entravée, fumier",param_bovins!B67,IF(D45="Pente paillée",param_bovins!B68,IF(D45="Logette, fumier",param_bovins!B69,IF(D45=param_bovins!A70,param_bovins!B70,IF(D45=param_bovins!A71,param_bovins!B71,#N/A)))))))))</f>
        <v>1</v>
      </c>
      <c r="E47" s="40"/>
      <c r="F47" s="40"/>
      <c r="G47" s="40"/>
      <c r="H47" s="40"/>
      <c r="I47" s="40"/>
      <c r="J47" s="40"/>
      <c r="K47" s="40"/>
      <c r="L47" s="40"/>
      <c r="M47" s="40"/>
      <c r="N47" s="40"/>
      <c r="O47" s="40"/>
      <c r="P47" s="30"/>
    </row>
    <row r="48" spans="1:16" x14ac:dyDescent="0.25">
      <c r="A48" t="s">
        <v>243</v>
      </c>
      <c r="C48" t="s">
        <v>205</v>
      </c>
      <c r="D48" s="94">
        <f>IF(D45="Logette, lisier",param_bovins!C63,IF(D45="Etable entravée, lisier",param_bovins!C64,IF(D45="Litière accumulée, couloir lisier",param_bovins!C65,IF(D45="Logette, mixte lisier/fumier",param_bovins!C66,IF(D45="Etable entravée, fumier",param_bovins!C67,IF(D45="Pente paillée",param_bovins!C68,IF(D45="Logette, fumier",param_bovins!C69,IF(D45=param_bovins!A70,param_bovins!C70,IF(D45=param_bovins!A71,param_bovins!C71,#N/A)))))))))</f>
        <v>0</v>
      </c>
      <c r="E48" s="64"/>
      <c r="F48" s="40"/>
      <c r="G48" s="40"/>
      <c r="H48" s="40"/>
      <c r="I48" s="40"/>
      <c r="J48" s="40"/>
      <c r="K48" s="40"/>
      <c r="L48" s="40"/>
      <c r="M48" s="40"/>
      <c r="N48" s="40"/>
      <c r="O48" s="40"/>
      <c r="P48" s="30"/>
    </row>
    <row r="49" spans="1:16" x14ac:dyDescent="0.25">
      <c r="A49" t="s">
        <v>733</v>
      </c>
      <c r="B49" s="33"/>
      <c r="C49" t="s">
        <v>205</v>
      </c>
      <c r="D49" s="94">
        <f>IF(D45="Logette, mixte lisier/fumier",param_bovins!D66,IF(D45="Etable entravée, fumier",param_bovins!D67,IF(D45="Pente paillée",param_bovins!D68,IF(D45="Logette, fumier",param_bovins!D69,IF(D45=param_bovins!A70,param_bovins!D70,0)))))</f>
        <v>0</v>
      </c>
      <c r="E49" s="40"/>
      <c r="F49" s="40"/>
      <c r="G49" s="40"/>
      <c r="H49" s="40"/>
      <c r="I49" s="40"/>
      <c r="J49" s="40"/>
      <c r="K49" s="40"/>
      <c r="L49" s="40"/>
      <c r="M49" s="40"/>
      <c r="N49" s="40"/>
      <c r="O49" s="40"/>
      <c r="P49" s="66"/>
    </row>
    <row r="50" spans="1:16" x14ac:dyDescent="0.25">
      <c r="A50" t="s">
        <v>294</v>
      </c>
      <c r="B50" s="33"/>
      <c r="C50" t="s">
        <v>50</v>
      </c>
      <c r="D50" s="94">
        <f>IF(D45="Logette, lisier",param_bovins!F63,IF(D45="Etable entravée, lisier",param_bovins!F64,IF(D45="Litière accumulée, couloir lisier",param_bovins!F65,IF(D45="Logette, mixte lisier/fumier",param_bovins!F66,IF(D45="Etable entravée, fumier",param_bovins!F67,IF(D45="Pente paillée",param_bovins!F68,IF(D45="Logette, fumier",param_bovins!F69,IF(D45=param_bovins!A70,param_bovins!F70,IF(D45=param_bovins!A71,param_bovins!F71,#N/A)))))))))</f>
        <v>1.03</v>
      </c>
      <c r="E50" s="40"/>
      <c r="F50" s="40"/>
      <c r="G50" s="40"/>
      <c r="H50" s="40"/>
      <c r="I50" s="40"/>
      <c r="J50" s="40"/>
      <c r="K50" s="40"/>
      <c r="L50" s="40"/>
      <c r="M50" s="40"/>
      <c r="N50" s="40"/>
      <c r="O50" s="40"/>
      <c r="P50" s="30"/>
    </row>
    <row r="51" spans="1:16" x14ac:dyDescent="0.25">
      <c r="A51" t="s">
        <v>152</v>
      </c>
      <c r="B51" s="33"/>
      <c r="C51" t="s">
        <v>732</v>
      </c>
      <c r="D51" s="94">
        <f>IF(D45="Logette, lisier",param_bovins!G63,IF(D45="Etable entravée, lisier",param_bovins!G64,IF(D45="Litière accumulée, couloir lisier",param_bovins!G65,IF(D45="Logette, mixte lisier/fumier",param_bovins!G66,IF(D45="Etable entravée, fumier",param_bovins!G67,IF(D45="Pente paillée",param_bovins!G68,IF(D45="Logette, fumier",param_bovins!G69,IF(D45=param_bovins!A70,param_bovins!G70,IF(D45=param_bovins!A71,param_bovins!G71,#N/A)))))))))</f>
        <v>0</v>
      </c>
      <c r="E51" s="40"/>
      <c r="F51" s="40"/>
      <c r="G51" s="40"/>
      <c r="H51" s="40"/>
      <c r="I51" s="40"/>
      <c r="J51" s="40"/>
      <c r="K51" s="40"/>
      <c r="L51" s="40"/>
      <c r="M51" s="40"/>
      <c r="N51" s="40"/>
      <c r="O51" s="40"/>
      <c r="P51" s="30"/>
    </row>
    <row r="52" spans="1:16" x14ac:dyDescent="0.25">
      <c r="A52" s="33" t="s">
        <v>734</v>
      </c>
      <c r="B52" s="33"/>
      <c r="C52" t="s">
        <v>205</v>
      </c>
      <c r="D52" s="81">
        <f>IF(D45="Logette, mixte lisier/fumier",IF('Saisie 2_bovins'!C44="couverte", param_bovins!H66, param_bovins!I66), IF(D45="Etable entravée, fumier",IF('Saisie 2_bovins'!C44="couverte",param_bovins!H67,param_bovins!I67),IF(D45="Pente paillée",IF('Saisie 2_bovins'!C44="couverte",param_bovins!H68,param_bovins!I68),IF(D45="Logette, fumier",IF('Saisie 2_bovins'!C44="couverte",param_bovins!H69, param_bovins!I69),IF(D45=param_bovins!A70,IF('Saisie 2_bovins'!C44="couverte",param_bovins!H70,param_bovins!I70),IF(Calculs_bovins!D45=param_bovins!A71,IF('Saisie 2_bovins'!C44="couverte",param_bovins!H71,param_bovins!I71),IF(Calculs_bovins!D45=param_bovins!A65,IF('Saisie 2_bovins'!C44="couverte",param_bovins!H65,param_bovins!I65),0)))))))</f>
        <v>0</v>
      </c>
      <c r="E52" s="40"/>
      <c r="F52" s="40"/>
      <c r="G52" s="40"/>
      <c r="H52" s="40"/>
      <c r="I52" s="40"/>
      <c r="J52" s="40"/>
      <c r="K52" s="40"/>
      <c r="L52" s="40"/>
      <c r="M52" s="40"/>
      <c r="N52" s="40"/>
      <c r="O52" s="40"/>
      <c r="P52" s="30"/>
    </row>
    <row r="53" spans="1:16" x14ac:dyDescent="0.25">
      <c r="A53" s="33" t="s">
        <v>735</v>
      </c>
      <c r="B53" s="33"/>
      <c r="C53" t="s">
        <v>205</v>
      </c>
      <c r="D53" s="236">
        <f>IF(D45="Logette, mixte lisier/fumier",IF('Saisie 2_bovins'!C44="couverte", param_bovins!J66, param_bovins!K66), IF(D45="Etable entravée, fumier",IF('Saisie 2_bovins'!C44="couverte",param_bovins!J67,param_bovins!K67),IF(D45="Pente paillée",IF('Saisie 2_bovins'!C44="couverte",param_bovins!J68,param_bovins!K68),IF(D45="Logette, fumier",IF('Saisie 2_bovins'!C44="couverte",param_bovins!J69, param_bovins!K69),IF(D45=param_bovins!A70,IF('Saisie 2_bovins'!C44="couverte",param_bovins!J70,param_bovins!K70),IF(Calculs_bovins!D45=param_bovins!A71,IF('Saisie 2_bovins'!C44="couverte",param_bovins!J71,param_bovins!K71),IF(Calculs_bovins!D45=param_bovins!A65,IF('Saisie 2_bovins'!C44="couverte",param_bovins!J65,param_bovins!K65),0)))))))</f>
        <v>0</v>
      </c>
      <c r="E53" s="40"/>
      <c r="F53" s="40"/>
      <c r="G53" s="40"/>
      <c r="H53" s="40"/>
      <c r="I53" s="40"/>
      <c r="J53" s="40"/>
      <c r="K53" s="40"/>
      <c r="L53" s="40"/>
      <c r="M53" s="40"/>
      <c r="N53" s="40"/>
      <c r="O53" s="40"/>
      <c r="P53" s="30"/>
    </row>
    <row r="54" spans="1:16" x14ac:dyDescent="0.25">
      <c r="A54" s="33" t="s">
        <v>736</v>
      </c>
      <c r="B54" s="33"/>
      <c r="C54" t="s">
        <v>205</v>
      </c>
      <c r="D54" s="236">
        <f>IF(D45="Logette, mixte lisier/fumier",IF('Saisie 2_bovins'!C44="couverte", param_bovins!L66, param_bovins!M66), IF(D45="Etable entravée, fumier",IF('Saisie 2_bovins'!C44="couverte",param_bovins!L67,param_bovins!M67),IF(D45="Pente paillée",IF('Saisie 2_bovins'!C44="couverte",param_bovins!L68,param_bovins!M68),IF(D45="Logette, fumier",IF('Saisie 2_bovins'!C44="couverte",param_bovins!L69, param_bovins!M69),IF(D45=param_bovins!A70,IF('Saisie 2_bovins'!C44="couverte",param_bovins!L70,param_bovins!M70),IF(Calculs_bovins!D45=param_bovins!A71,IF('Saisie 2_bovins'!C44="couverte",param_bovins!L71,param_bovins!M71),IF(Calculs_bovins!D45=param_bovins!A65,IF('Saisie 2_bovins'!C44="couverte",param_bovins!L65,param_bovins!M65),0)))))))</f>
        <v>0</v>
      </c>
      <c r="E54" s="40"/>
      <c r="F54" s="40"/>
      <c r="G54" s="40"/>
      <c r="H54" s="40"/>
      <c r="I54" s="40"/>
      <c r="J54" s="40"/>
      <c r="K54" s="40"/>
      <c r="L54" s="40"/>
      <c r="M54" s="40"/>
      <c r="N54" s="40"/>
      <c r="O54" s="40"/>
      <c r="P54" s="30"/>
    </row>
    <row r="55" spans="1:16" x14ac:dyDescent="0.25">
      <c r="A55" t="s">
        <v>782</v>
      </c>
      <c r="B55" s="33"/>
      <c r="C55" t="s">
        <v>783</v>
      </c>
      <c r="D55" s="93">
        <f>IF(D45="Logette, lisier",param_bovins!N63,IF(D45="Etable entravée, lisier",param_bovins!N64,IF(D45="Litière accumulée, couloir lisier",param_bovins!N65,IF(D45="Logette, mixte lisier/fumier",param_bovins!N66,IF(D45="Etable entravée, fumier",param_bovins!N67,IF(D45="Pente paillée",param_bovins!N68,IF(D45="Logette, fumier",param_bovins!N69,IF(D45=param_bovins!A70,param_bovins!N70,IF(D45=param_bovins!A71,param_bovins!N71,#N/A)))))))))</f>
        <v>0</v>
      </c>
      <c r="E55" s="40"/>
      <c r="F55" s="40"/>
      <c r="G55" s="40"/>
      <c r="H55" s="40"/>
      <c r="I55" s="40"/>
      <c r="J55" s="40"/>
      <c r="K55" s="40"/>
      <c r="L55" s="40"/>
      <c r="M55" s="40"/>
      <c r="N55" s="40"/>
      <c r="O55" s="40"/>
      <c r="P55" s="30"/>
    </row>
    <row r="56" spans="1:16" x14ac:dyDescent="0.25">
      <c r="B56" s="33"/>
      <c r="C56" s="33"/>
      <c r="D56" s="93"/>
      <c r="E56" s="40"/>
      <c r="F56" s="40"/>
      <c r="G56" s="40"/>
      <c r="H56" s="40"/>
      <c r="I56" s="40"/>
      <c r="J56" s="40"/>
      <c r="K56" s="40"/>
      <c r="L56" s="40"/>
      <c r="M56" s="40"/>
      <c r="N56" s="40"/>
      <c r="O56" s="40"/>
      <c r="P56" s="30"/>
    </row>
    <row r="57" spans="1:16" s="33" customFormat="1" x14ac:dyDescent="0.25">
      <c r="A57" t="s">
        <v>220</v>
      </c>
      <c r="B57" s="33" t="s">
        <v>227</v>
      </c>
      <c r="C57" t="s">
        <v>218</v>
      </c>
      <c r="D57" s="93">
        <f>param_bovins!D5*Calculs_bovins!D47</f>
        <v>21.6</v>
      </c>
      <c r="E57" s="40"/>
      <c r="F57" s="40"/>
      <c r="G57" s="40"/>
      <c r="H57" s="40"/>
      <c r="I57" s="40"/>
      <c r="J57" s="40"/>
      <c r="K57" s="40"/>
      <c r="L57" s="40"/>
      <c r="M57" s="40"/>
      <c r="N57" s="40"/>
      <c r="O57" s="40"/>
      <c r="P57" s="35"/>
    </row>
    <row r="58" spans="1:16" s="33" customFormat="1" x14ac:dyDescent="0.25">
      <c r="A58" t="s">
        <v>221</v>
      </c>
      <c r="B58" t="s">
        <v>226</v>
      </c>
      <c r="C58" t="s">
        <v>218</v>
      </c>
      <c r="D58" s="93">
        <f>IF(D50=0,0,param_bovins!B5*D51*Calculs_bovins!D48/Calculs_bovins!D50)</f>
        <v>0</v>
      </c>
      <c r="G58" s="39" t="s">
        <v>219</v>
      </c>
      <c r="H58" s="39">
        <f>D58*D50</f>
        <v>0</v>
      </c>
      <c r="I58" s="40"/>
      <c r="J58" s="40"/>
      <c r="K58" s="40"/>
      <c r="L58" s="40"/>
      <c r="M58" s="40"/>
      <c r="N58" s="40"/>
      <c r="O58" s="40"/>
      <c r="P58" s="35"/>
    </row>
    <row r="59" spans="1:16" s="33" customFormat="1" x14ac:dyDescent="0.25">
      <c r="A59" t="s">
        <v>222</v>
      </c>
      <c r="B59" t="s">
        <v>228</v>
      </c>
      <c r="C59" t="s">
        <v>218</v>
      </c>
      <c r="D59" s="93">
        <f>D58*D49</f>
        <v>0</v>
      </c>
      <c r="E59" s="40"/>
      <c r="F59" s="40"/>
      <c r="G59" s="40"/>
      <c r="H59" s="40"/>
      <c r="I59" s="40"/>
      <c r="J59" s="40"/>
      <c r="K59" s="40"/>
      <c r="L59" s="40"/>
      <c r="M59" s="40"/>
      <c r="N59" s="40"/>
      <c r="O59" s="40"/>
      <c r="P59" s="35"/>
    </row>
    <row r="60" spans="1:16" s="33" customFormat="1" x14ac:dyDescent="0.25">
      <c r="A60"/>
      <c r="B60"/>
      <c r="C60"/>
      <c r="D60" s="34"/>
      <c r="E60" s="40"/>
      <c r="F60" s="40"/>
      <c r="G60" s="40"/>
      <c r="H60" s="40"/>
      <c r="I60" s="40"/>
      <c r="J60" s="40"/>
      <c r="K60" s="40"/>
      <c r="L60" s="40"/>
      <c r="M60" s="40"/>
      <c r="N60" s="40"/>
      <c r="O60" s="40"/>
      <c r="P60" s="35"/>
    </row>
    <row r="61" spans="1:16" s="33" customFormat="1" x14ac:dyDescent="0.25">
      <c r="A61" t="s">
        <v>210</v>
      </c>
      <c r="B61" t="s">
        <v>230</v>
      </c>
      <c r="C61" t="s">
        <v>300</v>
      </c>
      <c r="D61" s="40">
        <f>IF('Saisie 2_bovins'!D3&lt;4500,param_bovins!B52*Calculs_bovins!D57,IF('Saisie 2_bovins'!D3&lt;6000,param_bovins!B53*Calculs_bovins!D57,IF('Saisie 2_bovins'!D3&lt;=8000,param_bovins!B54*Calculs_bovins!D57,Calculs_bovins!D57*param_bovins!B55)))</f>
        <v>23.760000000000005</v>
      </c>
      <c r="E61" s="40"/>
      <c r="F61" s="40"/>
      <c r="G61" s="40"/>
      <c r="H61" s="40"/>
      <c r="I61" s="40"/>
      <c r="J61" s="40"/>
      <c r="K61" s="40"/>
      <c r="L61" s="40"/>
      <c r="M61" s="40"/>
      <c r="N61" s="40"/>
      <c r="O61" s="40"/>
      <c r="P61" s="35"/>
    </row>
    <row r="62" spans="1:16" s="33" customFormat="1" x14ac:dyDescent="0.25">
      <c r="A62" t="s">
        <v>211</v>
      </c>
      <c r="B62" t="s">
        <v>230</v>
      </c>
      <c r="C62" t="s">
        <v>300</v>
      </c>
      <c r="D62" s="40">
        <f>IF('Saisie 2_bovins'!D3&lt;4500,param_bovins!B52*Calculs_bovins!D58,IF('Saisie 2_bovins'!D3&lt;6000,param_bovins!B53*Calculs_bovins!D58,IF('Saisie 2_bovins'!D3&lt;=8000,param_bovins!B54*Calculs_bovins!D58,Calculs_bovins!D58*param_bovins!B55)))</f>
        <v>0</v>
      </c>
      <c r="E62" s="40"/>
      <c r="F62" s="40"/>
      <c r="G62" s="39" t="s">
        <v>219</v>
      </c>
      <c r="H62" s="39">
        <f>IF('Saisie 2_bovins'!D3&lt;4500,param_bovins!B52*Calculs_bovins!H58,IF('Saisie 2_bovins'!D3&lt;6000,param_bovins!B53*Calculs_bovins!H58,IF('Saisie 2_bovins'!D3&lt;=8000,param_bovins!B54*Calculs_bovins!H58,Calculs_bovins!H58*param_bovins!B55)))</f>
        <v>0</v>
      </c>
      <c r="I62" s="40"/>
      <c r="J62" s="40"/>
      <c r="K62" s="40"/>
      <c r="L62" s="40"/>
      <c r="M62" s="40"/>
      <c r="N62" s="40"/>
      <c r="O62" s="40"/>
      <c r="P62" s="35"/>
    </row>
    <row r="63" spans="1:16" s="33" customFormat="1" x14ac:dyDescent="0.25">
      <c r="A63" t="s">
        <v>212</v>
      </c>
      <c r="B63" t="s">
        <v>231</v>
      </c>
      <c r="C63" t="s">
        <v>300</v>
      </c>
      <c r="D63" s="40">
        <f>D62*D49</f>
        <v>0</v>
      </c>
      <c r="E63" s="40"/>
      <c r="F63" s="40"/>
      <c r="G63" s="40"/>
      <c r="H63" s="40"/>
      <c r="I63" s="40"/>
      <c r="J63" s="40"/>
      <c r="K63" s="40"/>
      <c r="L63" s="40"/>
      <c r="M63" s="40"/>
      <c r="N63" s="40"/>
      <c r="O63" s="40"/>
      <c r="P63" s="35"/>
    </row>
    <row r="64" spans="1:16" s="33" customFormat="1" x14ac:dyDescent="0.25">
      <c r="A64"/>
      <c r="B64"/>
      <c r="C64"/>
      <c r="D64" s="40"/>
      <c r="E64" s="40"/>
      <c r="F64" s="40"/>
      <c r="G64" s="40"/>
      <c r="H64" s="40"/>
      <c r="I64" s="40"/>
      <c r="J64" s="40"/>
      <c r="K64" s="40"/>
      <c r="L64" s="40"/>
      <c r="M64" s="40"/>
      <c r="N64" s="40"/>
      <c r="O64" s="40"/>
      <c r="P64" s="35"/>
    </row>
    <row r="65" spans="1:16" s="33" customFormat="1" x14ac:dyDescent="0.25">
      <c r="A65" t="s">
        <v>210</v>
      </c>
      <c r="B65" t="s">
        <v>232</v>
      </c>
      <c r="C65" t="s">
        <v>229</v>
      </c>
      <c r="D65" s="40">
        <f>$D$61/12*D40*D39</f>
        <v>91.080000000000013</v>
      </c>
      <c r="E65" s="40">
        <f t="shared" ref="E65:O65" si="17">$D$61/12*E40*E39</f>
        <v>91.080000000000013</v>
      </c>
      <c r="F65" s="40">
        <f t="shared" si="17"/>
        <v>45.540000000000006</v>
      </c>
      <c r="G65" s="40">
        <f t="shared" si="17"/>
        <v>22.770000000000003</v>
      </c>
      <c r="H65" s="40">
        <f t="shared" si="17"/>
        <v>22.770000000000003</v>
      </c>
      <c r="I65" s="40">
        <f t="shared" si="17"/>
        <v>22.770000000000003</v>
      </c>
      <c r="J65" s="40">
        <f t="shared" si="17"/>
        <v>22.770000000000003</v>
      </c>
      <c r="K65" s="40">
        <f t="shared" si="17"/>
        <v>26.565000000000005</v>
      </c>
      <c r="L65" s="40">
        <f t="shared" si="17"/>
        <v>37.95000000000001</v>
      </c>
      <c r="M65" s="40">
        <f t="shared" si="17"/>
        <v>37.95000000000001</v>
      </c>
      <c r="N65" s="40">
        <f t="shared" si="17"/>
        <v>91.080000000000013</v>
      </c>
      <c r="O65" s="40">
        <f t="shared" si="17"/>
        <v>91.080000000000013</v>
      </c>
      <c r="P65" s="35"/>
    </row>
    <row r="66" spans="1:16" s="33" customFormat="1" x14ac:dyDescent="0.25">
      <c r="A66" t="s">
        <v>211</v>
      </c>
      <c r="B66" t="s">
        <v>232</v>
      </c>
      <c r="C66" t="s">
        <v>229</v>
      </c>
      <c r="D66" s="40">
        <f>$D$62/12*D40*D39</f>
        <v>0</v>
      </c>
      <c r="E66" s="40">
        <f t="shared" ref="E66:O66" si="18">$D$62/12*E40*E39</f>
        <v>0</v>
      </c>
      <c r="F66" s="40">
        <f t="shared" si="18"/>
        <v>0</v>
      </c>
      <c r="G66" s="40">
        <f t="shared" si="18"/>
        <v>0</v>
      </c>
      <c r="H66" s="40">
        <f t="shared" si="18"/>
        <v>0</v>
      </c>
      <c r="I66" s="40">
        <f t="shared" si="18"/>
        <v>0</v>
      </c>
      <c r="J66" s="40">
        <f t="shared" si="18"/>
        <v>0</v>
      </c>
      <c r="K66" s="40">
        <f t="shared" si="18"/>
        <v>0</v>
      </c>
      <c r="L66" s="40">
        <f t="shared" si="18"/>
        <v>0</v>
      </c>
      <c r="M66" s="40">
        <f t="shared" si="18"/>
        <v>0</v>
      </c>
      <c r="N66" s="40">
        <f t="shared" si="18"/>
        <v>0</v>
      </c>
      <c r="O66" s="40">
        <f t="shared" si="18"/>
        <v>0</v>
      </c>
      <c r="P66" s="35"/>
    </row>
    <row r="67" spans="1:16" s="33" customFormat="1" x14ac:dyDescent="0.25">
      <c r="A67" t="s">
        <v>212</v>
      </c>
      <c r="B67" t="s">
        <v>232</v>
      </c>
      <c r="C67" t="s">
        <v>229</v>
      </c>
      <c r="D67" s="40">
        <f>$D$63/12*D40*D39</f>
        <v>0</v>
      </c>
      <c r="E67" s="40">
        <f t="shared" ref="E67:O67" si="19">$D$63/12*E40*E39</f>
        <v>0</v>
      </c>
      <c r="F67" s="40">
        <f t="shared" si="19"/>
        <v>0</v>
      </c>
      <c r="G67" s="40">
        <f t="shared" si="19"/>
        <v>0</v>
      </c>
      <c r="H67" s="40">
        <f t="shared" si="19"/>
        <v>0</v>
      </c>
      <c r="I67" s="40">
        <f t="shared" si="19"/>
        <v>0</v>
      </c>
      <c r="J67" s="40">
        <f t="shared" si="19"/>
        <v>0</v>
      </c>
      <c r="K67" s="40">
        <f t="shared" si="19"/>
        <v>0</v>
      </c>
      <c r="L67" s="40">
        <f t="shared" si="19"/>
        <v>0</v>
      </c>
      <c r="M67" s="40">
        <f t="shared" si="19"/>
        <v>0</v>
      </c>
      <c r="N67" s="40">
        <f t="shared" si="19"/>
        <v>0</v>
      </c>
      <c r="O67" s="40">
        <f t="shared" si="19"/>
        <v>0</v>
      </c>
      <c r="P67" s="35"/>
    </row>
    <row r="68" spans="1:16" s="33" customFormat="1" x14ac:dyDescent="0.25">
      <c r="A68"/>
      <c r="B68"/>
      <c r="C68"/>
      <c r="D68" s="40"/>
      <c r="E68" s="40"/>
      <c r="F68" s="40"/>
      <c r="G68" s="40"/>
      <c r="H68" s="40"/>
      <c r="I68" s="40"/>
      <c r="J68" s="40"/>
      <c r="K68" s="40"/>
      <c r="L68" s="40"/>
      <c r="M68" s="40"/>
      <c r="N68" s="40"/>
      <c r="O68" s="40"/>
      <c r="P68" s="35"/>
    </row>
    <row r="69" spans="1:16" s="33" customFormat="1" x14ac:dyDescent="0.25">
      <c r="A69" s="44" t="s">
        <v>237</v>
      </c>
      <c r="B69" s="44" t="s">
        <v>238</v>
      </c>
      <c r="C69" s="44" t="s">
        <v>239</v>
      </c>
      <c r="D69" s="45">
        <f>$H$62/12*D40*D39</f>
        <v>0</v>
      </c>
      <c r="E69" s="45">
        <f t="shared" ref="E69:O69" si="20">$H$62/12*E40*E39</f>
        <v>0</v>
      </c>
      <c r="F69" s="45">
        <f t="shared" si="20"/>
        <v>0</v>
      </c>
      <c r="G69" s="45">
        <f t="shared" si="20"/>
        <v>0</v>
      </c>
      <c r="H69" s="45">
        <f t="shared" si="20"/>
        <v>0</v>
      </c>
      <c r="I69" s="45">
        <f t="shared" si="20"/>
        <v>0</v>
      </c>
      <c r="J69" s="45">
        <f t="shared" si="20"/>
        <v>0</v>
      </c>
      <c r="K69" s="45">
        <f t="shared" si="20"/>
        <v>0</v>
      </c>
      <c r="L69" s="45">
        <f t="shared" si="20"/>
        <v>0</v>
      </c>
      <c r="M69" s="45">
        <f t="shared" si="20"/>
        <v>0</v>
      </c>
      <c r="N69" s="45">
        <f t="shared" si="20"/>
        <v>0</v>
      </c>
      <c r="O69" s="45">
        <f t="shared" si="20"/>
        <v>0</v>
      </c>
      <c r="P69" s="35"/>
    </row>
    <row r="70" spans="1:16" s="33" customFormat="1" x14ac:dyDescent="0.25">
      <c r="A70" s="44" t="s">
        <v>245</v>
      </c>
      <c r="B70" s="44"/>
      <c r="C70" s="44" t="s">
        <v>229</v>
      </c>
      <c r="D70" s="45">
        <f>D65+D67</f>
        <v>91.080000000000013</v>
      </c>
      <c r="E70" s="45">
        <f t="shared" ref="E70:O70" si="21">E65+E67</f>
        <v>91.080000000000013</v>
      </c>
      <c r="F70" s="45">
        <f t="shared" si="21"/>
        <v>45.540000000000006</v>
      </c>
      <c r="G70" s="45">
        <f t="shared" si="21"/>
        <v>22.770000000000003</v>
      </c>
      <c r="H70" s="45">
        <f t="shared" si="21"/>
        <v>22.770000000000003</v>
      </c>
      <c r="I70" s="45">
        <f t="shared" si="21"/>
        <v>22.770000000000003</v>
      </c>
      <c r="J70" s="45">
        <f t="shared" si="21"/>
        <v>22.770000000000003</v>
      </c>
      <c r="K70" s="45">
        <f t="shared" si="21"/>
        <v>26.565000000000005</v>
      </c>
      <c r="L70" s="45">
        <f t="shared" si="21"/>
        <v>37.95000000000001</v>
      </c>
      <c r="M70" s="45">
        <f t="shared" si="21"/>
        <v>37.95000000000001</v>
      </c>
      <c r="N70" s="45">
        <f t="shared" si="21"/>
        <v>91.080000000000013</v>
      </c>
      <c r="O70" s="45">
        <f t="shared" si="21"/>
        <v>91.080000000000013</v>
      </c>
      <c r="P70" s="35"/>
    </row>
    <row r="71" spans="1:16" s="33" customFormat="1" x14ac:dyDescent="0.25">
      <c r="A71" s="9"/>
      <c r="B71" s="9"/>
      <c r="C71" s="9"/>
      <c r="D71" s="39"/>
      <c r="E71" s="39"/>
      <c r="F71" s="39"/>
      <c r="G71" s="39"/>
      <c r="H71" s="39"/>
      <c r="I71" s="39"/>
      <c r="J71" s="39"/>
      <c r="K71" s="39"/>
      <c r="L71" s="39"/>
      <c r="M71" s="39"/>
      <c r="N71" s="39"/>
      <c r="O71" s="39"/>
      <c r="P71" s="35"/>
    </row>
    <row r="72" spans="1:16" s="33" customFormat="1" x14ac:dyDescent="0.25">
      <c r="A72" s="9" t="s">
        <v>241</v>
      </c>
      <c r="B72" s="9" t="s">
        <v>240</v>
      </c>
      <c r="C72" s="9" t="s">
        <v>246</v>
      </c>
      <c r="D72" s="39">
        <f>(D41+D35)*$D$47</f>
        <v>631.2306757479713</v>
      </c>
      <c r="E72" s="39">
        <f t="shared" ref="E72:O72" si="22">(E41+E35)*$D$47</f>
        <v>631.2306757479713</v>
      </c>
      <c r="F72" s="39">
        <f t="shared" si="22"/>
        <v>187.86093224898576</v>
      </c>
      <c r="G72" s="39">
        <f t="shared" si="22"/>
        <v>97.745806749492871</v>
      </c>
      <c r="H72" s="39">
        <f t="shared" si="22"/>
        <v>97.745806749492871</v>
      </c>
      <c r="I72" s="39">
        <f t="shared" si="22"/>
        <v>114.3162861244929</v>
      </c>
      <c r="J72" s="39">
        <f t="shared" si="22"/>
        <v>137.45685206199286</v>
      </c>
      <c r="K72" s="39">
        <f t="shared" si="22"/>
        <v>158.89619615565837</v>
      </c>
      <c r="L72" s="39">
        <f t="shared" si="22"/>
        <v>234.66025031165483</v>
      </c>
      <c r="M72" s="39">
        <f t="shared" si="22"/>
        <v>241.10082531165475</v>
      </c>
      <c r="N72" s="39">
        <f t="shared" si="22"/>
        <v>642.87971574797166</v>
      </c>
      <c r="O72" s="39">
        <f t="shared" si="22"/>
        <v>642.87971574797166</v>
      </c>
      <c r="P72" s="35"/>
    </row>
    <row r="73" spans="1:16" s="33" customFormat="1" x14ac:dyDescent="0.25">
      <c r="A73" s="9" t="s">
        <v>247</v>
      </c>
      <c r="B73" s="9" t="s">
        <v>248</v>
      </c>
      <c r="C73" s="9" t="s">
        <v>249</v>
      </c>
      <c r="D73" s="39">
        <f>(D42+D36)*$D$47</f>
        <v>83.036651584785432</v>
      </c>
      <c r="E73" s="39">
        <f t="shared" ref="E73:O73" si="23">(E42+E36)*$D$47</f>
        <v>83.036651584785432</v>
      </c>
      <c r="F73" s="39">
        <f t="shared" si="23"/>
        <v>29.071214542392713</v>
      </c>
      <c r="G73" s="39">
        <f t="shared" si="23"/>
        <v>14.955644771196356</v>
      </c>
      <c r="H73" s="39">
        <f t="shared" si="23"/>
        <v>14.955644771196356</v>
      </c>
      <c r="I73" s="39">
        <f t="shared" si="23"/>
        <v>16.446777896196359</v>
      </c>
      <c r="J73" s="39">
        <f t="shared" si="23"/>
        <v>18.529463833696362</v>
      </c>
      <c r="K73" s="39">
        <f t="shared" si="23"/>
        <v>21.474778378895746</v>
      </c>
      <c r="L73" s="39">
        <f t="shared" si="23"/>
        <v>31.471658993660593</v>
      </c>
      <c r="M73" s="39">
        <f t="shared" si="23"/>
        <v>32.766774618660591</v>
      </c>
      <c r="N73" s="39">
        <f t="shared" si="23"/>
        <v>84.128749084785426</v>
      </c>
      <c r="O73" s="39">
        <f t="shared" si="23"/>
        <v>84.128749084785426</v>
      </c>
      <c r="P73" s="35"/>
    </row>
    <row r="74" spans="1:16" s="33" customFormat="1" x14ac:dyDescent="0.25">
      <c r="A74" s="9" t="s">
        <v>250</v>
      </c>
      <c r="B74" s="9" t="s">
        <v>251</v>
      </c>
      <c r="C74" s="9" t="s">
        <v>252</v>
      </c>
      <c r="D74" s="39">
        <f>(D43+D37)*$D$47</f>
        <v>370.61717210731649</v>
      </c>
      <c r="E74" s="39">
        <f t="shared" ref="E74:O74" si="24">(E43+E37)*$D$47</f>
        <v>370.61717210731649</v>
      </c>
      <c r="F74" s="39">
        <f t="shared" si="24"/>
        <v>198.00071917865824</v>
      </c>
      <c r="G74" s="39">
        <f t="shared" si="24"/>
        <v>104.95089083932912</v>
      </c>
      <c r="H74" s="39">
        <f t="shared" si="24"/>
        <v>104.95089083932912</v>
      </c>
      <c r="I74" s="39">
        <f t="shared" si="24"/>
        <v>105.12590646432913</v>
      </c>
      <c r="J74" s="39">
        <f t="shared" si="24"/>
        <v>100.01895052682912</v>
      </c>
      <c r="K74" s="39">
        <f t="shared" si="24"/>
        <v>114.851111552134</v>
      </c>
      <c r="L74" s="39">
        <f t="shared" si="24"/>
        <v>166.40655816971523</v>
      </c>
      <c r="M74" s="39">
        <f t="shared" si="24"/>
        <v>167.8416862947152</v>
      </c>
      <c r="N74" s="39">
        <f t="shared" si="24"/>
        <v>374.1174846073165</v>
      </c>
      <c r="O74" s="39">
        <f t="shared" si="24"/>
        <v>374.1174846073165</v>
      </c>
      <c r="P74" s="35"/>
    </row>
    <row r="75" spans="1:16" s="33" customFormat="1" x14ac:dyDescent="0.25">
      <c r="A75" s="9"/>
      <c r="B75" s="9"/>
      <c r="C75" s="9"/>
      <c r="D75" s="39"/>
      <c r="E75" s="39"/>
      <c r="F75" s="39"/>
      <c r="G75" s="39"/>
      <c r="H75" s="39"/>
      <c r="I75" s="39"/>
      <c r="J75" s="39"/>
      <c r="K75" s="39"/>
      <c r="L75" s="39"/>
      <c r="M75" s="39"/>
      <c r="N75" s="39"/>
      <c r="O75" s="39"/>
      <c r="P75" s="35"/>
    </row>
    <row r="76" spans="1:16" s="33" customFormat="1" x14ac:dyDescent="0.25">
      <c r="A76" s="9" t="s">
        <v>253</v>
      </c>
      <c r="B76" s="9" t="s">
        <v>306</v>
      </c>
      <c r="C76" s="9" t="s">
        <v>246</v>
      </c>
      <c r="D76" s="39">
        <f>(D41+D35)*$D$48</f>
        <v>0</v>
      </c>
      <c r="E76" s="39">
        <f t="shared" ref="E76:O76" si="25">(E41+E35)*$D$48</f>
        <v>0</v>
      </c>
      <c r="F76" s="39">
        <f t="shared" si="25"/>
        <v>0</v>
      </c>
      <c r="G76" s="39">
        <f t="shared" si="25"/>
        <v>0</v>
      </c>
      <c r="H76" s="39">
        <f t="shared" si="25"/>
        <v>0</v>
      </c>
      <c r="I76" s="39">
        <f t="shared" si="25"/>
        <v>0</v>
      </c>
      <c r="J76" s="39">
        <f t="shared" si="25"/>
        <v>0</v>
      </c>
      <c r="K76" s="39">
        <f t="shared" si="25"/>
        <v>0</v>
      </c>
      <c r="L76" s="39">
        <f t="shared" si="25"/>
        <v>0</v>
      </c>
      <c r="M76" s="39">
        <f t="shared" si="25"/>
        <v>0</v>
      </c>
      <c r="N76" s="39">
        <f t="shared" si="25"/>
        <v>0</v>
      </c>
      <c r="O76" s="39">
        <f t="shared" si="25"/>
        <v>0</v>
      </c>
      <c r="P76" s="35"/>
    </row>
    <row r="77" spans="1:16" s="33" customFormat="1" x14ac:dyDescent="0.25">
      <c r="A77" s="9" t="s">
        <v>254</v>
      </c>
      <c r="B77" s="9" t="s">
        <v>307</v>
      </c>
      <c r="C77" s="9" t="s">
        <v>249</v>
      </c>
      <c r="D77" s="39">
        <f>(D42+D36)*$D$48</f>
        <v>0</v>
      </c>
      <c r="E77" s="39">
        <f t="shared" ref="E77:O77" si="26">(E42+E36)*$D$48</f>
        <v>0</v>
      </c>
      <c r="F77" s="39">
        <f t="shared" si="26"/>
        <v>0</v>
      </c>
      <c r="G77" s="39">
        <f t="shared" si="26"/>
        <v>0</v>
      </c>
      <c r="H77" s="39">
        <f t="shared" si="26"/>
        <v>0</v>
      </c>
      <c r="I77" s="39">
        <f t="shared" si="26"/>
        <v>0</v>
      </c>
      <c r="J77" s="39">
        <f t="shared" si="26"/>
        <v>0</v>
      </c>
      <c r="K77" s="39">
        <f t="shared" si="26"/>
        <v>0</v>
      </c>
      <c r="L77" s="39">
        <f t="shared" si="26"/>
        <v>0</v>
      </c>
      <c r="M77" s="39">
        <f t="shared" si="26"/>
        <v>0</v>
      </c>
      <c r="N77" s="39">
        <f t="shared" si="26"/>
        <v>0</v>
      </c>
      <c r="O77" s="39">
        <f t="shared" si="26"/>
        <v>0</v>
      </c>
      <c r="P77" s="35"/>
    </row>
    <row r="78" spans="1:16" s="33" customFormat="1" x14ac:dyDescent="0.25">
      <c r="A78" s="9" t="s">
        <v>255</v>
      </c>
      <c r="B78" s="9" t="s">
        <v>308</v>
      </c>
      <c r="C78" s="9" t="s">
        <v>252</v>
      </c>
      <c r="D78" s="39">
        <f>(D43+D37)*$D$48</f>
        <v>0</v>
      </c>
      <c r="E78" s="39">
        <f t="shared" ref="E78:O78" si="27">(E43+E37)*$D$48</f>
        <v>0</v>
      </c>
      <c r="F78" s="39">
        <f t="shared" si="27"/>
        <v>0</v>
      </c>
      <c r="G78" s="39">
        <f t="shared" si="27"/>
        <v>0</v>
      </c>
      <c r="H78" s="39">
        <f t="shared" si="27"/>
        <v>0</v>
      </c>
      <c r="I78" s="39">
        <f t="shared" si="27"/>
        <v>0</v>
      </c>
      <c r="J78" s="39">
        <f t="shared" si="27"/>
        <v>0</v>
      </c>
      <c r="K78" s="39">
        <f t="shared" si="27"/>
        <v>0</v>
      </c>
      <c r="L78" s="39">
        <f t="shared" si="27"/>
        <v>0</v>
      </c>
      <c r="M78" s="39">
        <f t="shared" si="27"/>
        <v>0</v>
      </c>
      <c r="N78" s="39">
        <f t="shared" si="27"/>
        <v>0</v>
      </c>
      <c r="O78" s="39">
        <f t="shared" si="27"/>
        <v>0</v>
      </c>
      <c r="P78" s="35"/>
    </row>
    <row r="79" spans="1:16" s="33" customFormat="1" x14ac:dyDescent="0.25">
      <c r="A79" s="9"/>
      <c r="B79" s="9"/>
      <c r="C79" s="9"/>
      <c r="D79" s="39"/>
      <c r="E79" s="39"/>
      <c r="F79" s="39"/>
      <c r="G79" s="39"/>
      <c r="H79" s="39"/>
      <c r="I79" s="39"/>
      <c r="J79" s="39"/>
      <c r="K79" s="39"/>
      <c r="L79" s="39"/>
      <c r="M79" s="39"/>
      <c r="N79" s="39"/>
      <c r="O79" s="39"/>
      <c r="P79" s="35"/>
    </row>
    <row r="80" spans="1:16" s="33" customFormat="1" x14ac:dyDescent="0.25">
      <c r="A80" s="9" t="s">
        <v>256</v>
      </c>
      <c r="B80" s="9" t="s">
        <v>737</v>
      </c>
      <c r="C80" s="9" t="s">
        <v>246</v>
      </c>
      <c r="D80" s="39">
        <f>D76*$D52</f>
        <v>0</v>
      </c>
      <c r="E80" s="39">
        <f t="shared" ref="E80:N80" si="28">E76*$D52</f>
        <v>0</v>
      </c>
      <c r="F80" s="39">
        <f t="shared" si="28"/>
        <v>0</v>
      </c>
      <c r="G80" s="39">
        <f t="shared" si="28"/>
        <v>0</v>
      </c>
      <c r="H80" s="39">
        <f t="shared" si="28"/>
        <v>0</v>
      </c>
      <c r="I80" s="39">
        <f t="shared" si="28"/>
        <v>0</v>
      </c>
      <c r="J80" s="39">
        <f t="shared" si="28"/>
        <v>0</v>
      </c>
      <c r="K80" s="39">
        <f t="shared" si="28"/>
        <v>0</v>
      </c>
      <c r="L80" s="39">
        <f t="shared" si="28"/>
        <v>0</v>
      </c>
      <c r="M80" s="39">
        <f t="shared" si="28"/>
        <v>0</v>
      </c>
      <c r="N80" s="39">
        <f t="shared" si="28"/>
        <v>0</v>
      </c>
      <c r="O80" s="39">
        <f t="shared" ref="O80" si="29">(O41+O35)*$D$49</f>
        <v>0</v>
      </c>
      <c r="P80" s="35"/>
    </row>
    <row r="81" spans="1:16" s="33" customFormat="1" x14ac:dyDescent="0.25">
      <c r="A81" s="9" t="s">
        <v>257</v>
      </c>
      <c r="B81" s="9" t="s">
        <v>738</v>
      </c>
      <c r="C81" s="9" t="s">
        <v>249</v>
      </c>
      <c r="D81" s="39">
        <f>D77*$D53</f>
        <v>0</v>
      </c>
      <c r="E81" s="39">
        <f t="shared" ref="E81:N81" si="30">E77*$D53</f>
        <v>0</v>
      </c>
      <c r="F81" s="39">
        <f t="shared" si="30"/>
        <v>0</v>
      </c>
      <c r="G81" s="39">
        <f t="shared" si="30"/>
        <v>0</v>
      </c>
      <c r="H81" s="39">
        <f t="shared" si="30"/>
        <v>0</v>
      </c>
      <c r="I81" s="39">
        <f t="shared" si="30"/>
        <v>0</v>
      </c>
      <c r="J81" s="39">
        <f t="shared" si="30"/>
        <v>0</v>
      </c>
      <c r="K81" s="39">
        <f t="shared" si="30"/>
        <v>0</v>
      </c>
      <c r="L81" s="39">
        <f t="shared" si="30"/>
        <v>0</v>
      </c>
      <c r="M81" s="39">
        <f t="shared" si="30"/>
        <v>0</v>
      </c>
      <c r="N81" s="39">
        <f t="shared" si="30"/>
        <v>0</v>
      </c>
      <c r="O81" s="39">
        <f t="shared" ref="O81" si="31">(O42+O36)*$D$49</f>
        <v>0</v>
      </c>
      <c r="P81" s="35"/>
    </row>
    <row r="82" spans="1:16" s="33" customFormat="1" x14ac:dyDescent="0.25">
      <c r="A82" s="9" t="s">
        <v>258</v>
      </c>
      <c r="B82" s="9" t="s">
        <v>739</v>
      </c>
      <c r="C82" s="9" t="s">
        <v>252</v>
      </c>
      <c r="D82" s="39">
        <f>D78*$D54</f>
        <v>0</v>
      </c>
      <c r="E82" s="39">
        <f t="shared" ref="E82:N82" si="32">E78*$D54</f>
        <v>0</v>
      </c>
      <c r="F82" s="39">
        <f t="shared" si="32"/>
        <v>0</v>
      </c>
      <c r="G82" s="39">
        <f t="shared" si="32"/>
        <v>0</v>
      </c>
      <c r="H82" s="39">
        <f t="shared" si="32"/>
        <v>0</v>
      </c>
      <c r="I82" s="39">
        <f t="shared" si="32"/>
        <v>0</v>
      </c>
      <c r="J82" s="39">
        <f t="shared" si="32"/>
        <v>0</v>
      </c>
      <c r="K82" s="39">
        <f t="shared" si="32"/>
        <v>0</v>
      </c>
      <c r="L82" s="39">
        <f t="shared" si="32"/>
        <v>0</v>
      </c>
      <c r="M82" s="39">
        <f t="shared" si="32"/>
        <v>0</v>
      </c>
      <c r="N82" s="39">
        <f t="shared" si="32"/>
        <v>0</v>
      </c>
      <c r="O82" s="39">
        <f t="shared" ref="O82" si="33">(O43+O37)*$D$49</f>
        <v>0</v>
      </c>
      <c r="P82" s="35"/>
    </row>
    <row r="83" spans="1:16" s="33" customFormat="1" x14ac:dyDescent="0.25">
      <c r="A83" s="9"/>
      <c r="B83" s="9"/>
      <c r="C83" s="9"/>
      <c r="D83" s="39"/>
      <c r="E83" s="39"/>
      <c r="F83" s="39"/>
      <c r="G83" s="39"/>
      <c r="H83" s="39"/>
      <c r="I83" s="39"/>
      <c r="J83" s="39"/>
      <c r="K83" s="39"/>
      <c r="L83" s="39"/>
      <c r="M83" s="39"/>
      <c r="N83" s="39"/>
      <c r="O83" s="39"/>
      <c r="P83" s="35"/>
    </row>
    <row r="84" spans="1:16" s="33" customFormat="1" x14ac:dyDescent="0.25">
      <c r="A84" s="9" t="s">
        <v>740</v>
      </c>
      <c r="B84" s="9" t="s">
        <v>743</v>
      </c>
      <c r="C84" s="9" t="s">
        <v>246</v>
      </c>
      <c r="D84" s="39">
        <f>D76-D80</f>
        <v>0</v>
      </c>
      <c r="E84" s="39">
        <f t="shared" ref="E84:O84" si="34">E76-E80</f>
        <v>0</v>
      </c>
      <c r="F84" s="39">
        <f t="shared" si="34"/>
        <v>0</v>
      </c>
      <c r="G84" s="39">
        <f t="shared" si="34"/>
        <v>0</v>
      </c>
      <c r="H84" s="39">
        <f t="shared" si="34"/>
        <v>0</v>
      </c>
      <c r="I84" s="39">
        <f t="shared" si="34"/>
        <v>0</v>
      </c>
      <c r="J84" s="39">
        <f t="shared" si="34"/>
        <v>0</v>
      </c>
      <c r="K84" s="39">
        <f t="shared" si="34"/>
        <v>0</v>
      </c>
      <c r="L84" s="39">
        <f t="shared" si="34"/>
        <v>0</v>
      </c>
      <c r="M84" s="39">
        <f t="shared" si="34"/>
        <v>0</v>
      </c>
      <c r="N84" s="39">
        <f t="shared" si="34"/>
        <v>0</v>
      </c>
      <c r="O84" s="39">
        <f t="shared" si="34"/>
        <v>0</v>
      </c>
      <c r="P84" s="35"/>
    </row>
    <row r="85" spans="1:16" s="33" customFormat="1" x14ac:dyDescent="0.25">
      <c r="A85" s="9" t="s">
        <v>741</v>
      </c>
      <c r="B85" s="9" t="s">
        <v>744</v>
      </c>
      <c r="C85" s="9" t="s">
        <v>249</v>
      </c>
      <c r="D85" s="39">
        <f t="shared" ref="D85:O86" si="35">D77-D81</f>
        <v>0</v>
      </c>
      <c r="E85" s="39">
        <f t="shared" si="35"/>
        <v>0</v>
      </c>
      <c r="F85" s="39">
        <f t="shared" si="35"/>
        <v>0</v>
      </c>
      <c r="G85" s="39">
        <f t="shared" si="35"/>
        <v>0</v>
      </c>
      <c r="H85" s="39">
        <f t="shared" si="35"/>
        <v>0</v>
      </c>
      <c r="I85" s="39">
        <f t="shared" si="35"/>
        <v>0</v>
      </c>
      <c r="J85" s="39">
        <f t="shared" si="35"/>
        <v>0</v>
      </c>
      <c r="K85" s="39">
        <f t="shared" si="35"/>
        <v>0</v>
      </c>
      <c r="L85" s="39">
        <f t="shared" si="35"/>
        <v>0</v>
      </c>
      <c r="M85" s="39">
        <f t="shared" si="35"/>
        <v>0</v>
      </c>
      <c r="N85" s="39">
        <f t="shared" si="35"/>
        <v>0</v>
      </c>
      <c r="O85" s="39">
        <f t="shared" si="35"/>
        <v>0</v>
      </c>
      <c r="P85" s="35"/>
    </row>
    <row r="86" spans="1:16" s="33" customFormat="1" x14ac:dyDescent="0.25">
      <c r="A86" s="9" t="s">
        <v>742</v>
      </c>
      <c r="B86" s="9" t="s">
        <v>745</v>
      </c>
      <c r="C86" s="9" t="s">
        <v>252</v>
      </c>
      <c r="D86" s="39">
        <f t="shared" si="35"/>
        <v>0</v>
      </c>
      <c r="E86" s="39">
        <f t="shared" si="35"/>
        <v>0</v>
      </c>
      <c r="F86" s="39">
        <f t="shared" si="35"/>
        <v>0</v>
      </c>
      <c r="G86" s="39">
        <f t="shared" si="35"/>
        <v>0</v>
      </c>
      <c r="H86" s="39">
        <f t="shared" si="35"/>
        <v>0</v>
      </c>
      <c r="I86" s="39">
        <f t="shared" si="35"/>
        <v>0</v>
      </c>
      <c r="J86" s="39">
        <f t="shared" si="35"/>
        <v>0</v>
      </c>
      <c r="K86" s="39">
        <f t="shared" si="35"/>
        <v>0</v>
      </c>
      <c r="L86" s="39">
        <f t="shared" si="35"/>
        <v>0</v>
      </c>
      <c r="M86" s="39">
        <f t="shared" si="35"/>
        <v>0</v>
      </c>
      <c r="N86" s="39">
        <f t="shared" si="35"/>
        <v>0</v>
      </c>
      <c r="O86" s="39">
        <f t="shared" si="35"/>
        <v>0</v>
      </c>
      <c r="P86" s="35"/>
    </row>
    <row r="87" spans="1:16" s="33" customFormat="1" x14ac:dyDescent="0.25">
      <c r="A87"/>
      <c r="B87"/>
      <c r="C87"/>
      <c r="D87" s="40"/>
      <c r="E87" s="40"/>
      <c r="F87" s="40"/>
      <c r="G87" s="40"/>
      <c r="H87" s="40"/>
      <c r="I87" s="40"/>
      <c r="J87" s="40"/>
      <c r="K87" s="40"/>
      <c r="L87" s="40"/>
      <c r="M87" s="40"/>
      <c r="N87" s="40"/>
      <c r="O87" s="40"/>
      <c r="P87" s="35"/>
    </row>
    <row r="88" spans="1:16" s="33" customFormat="1" x14ac:dyDescent="0.25">
      <c r="A88" s="5" t="s">
        <v>259</v>
      </c>
      <c r="B88" s="9" t="s">
        <v>260</v>
      </c>
      <c r="E88" s="40"/>
      <c r="F88" s="40"/>
      <c r="G88" s="40"/>
      <c r="H88" s="40"/>
      <c r="I88" s="40"/>
      <c r="J88" s="40"/>
      <c r="K88" s="40"/>
      <c r="L88" s="40"/>
      <c r="M88" s="40"/>
      <c r="N88" s="40"/>
      <c r="O88" s="40"/>
      <c r="P88" s="35"/>
    </row>
    <row r="89" spans="1:16" s="33" customFormat="1" x14ac:dyDescent="0.25">
      <c r="A89" s="5" t="s">
        <v>58</v>
      </c>
      <c r="B89" s="44" t="s">
        <v>261</v>
      </c>
      <c r="C89" s="5" t="s">
        <v>233</v>
      </c>
      <c r="D89" s="46">
        <f>IF($D$70&lt;=0,0,(D72+D80)/$D$70)</f>
        <v>6.9305080780409662</v>
      </c>
      <c r="E89" s="46">
        <f t="shared" ref="E89:O89" si="36">IF($D$70&lt;=0,0,(E72+E80)/$D$70)</f>
        <v>6.9305080780409662</v>
      </c>
      <c r="F89" s="46">
        <f t="shared" si="36"/>
        <v>2.0625925806871512</v>
      </c>
      <c r="G89" s="46">
        <f t="shared" si="36"/>
        <v>1.0731862840304442</v>
      </c>
      <c r="H89" s="46">
        <f t="shared" si="36"/>
        <v>1.0731862840304442</v>
      </c>
      <c r="I89" s="46">
        <f t="shared" si="36"/>
        <v>1.2551195226668082</v>
      </c>
      <c r="J89" s="46">
        <f t="shared" si="36"/>
        <v>1.5091880990556965</v>
      </c>
      <c r="K89" s="46">
        <f t="shared" si="36"/>
        <v>1.7445783504134647</v>
      </c>
      <c r="L89" s="46">
        <f t="shared" si="36"/>
        <v>2.5764190855473736</v>
      </c>
      <c r="M89" s="46">
        <f t="shared" si="36"/>
        <v>2.6471324693857565</v>
      </c>
      <c r="N89" s="46">
        <f t="shared" si="36"/>
        <v>7.0584070679399602</v>
      </c>
      <c r="O89" s="46">
        <f t="shared" si="36"/>
        <v>7.0584070679399602</v>
      </c>
      <c r="P89" s="30"/>
    </row>
    <row r="90" spans="1:16" s="33" customFormat="1" x14ac:dyDescent="0.25">
      <c r="A90" s="5" t="s">
        <v>59</v>
      </c>
      <c r="B90" s="5"/>
      <c r="C90" s="5" t="s">
        <v>234</v>
      </c>
      <c r="D90" s="46">
        <f t="shared" ref="D90:O91" si="37">IF($D$70&lt;=0,0,(D73+D81)/$D$70)</f>
        <v>0.91168919175214558</v>
      </c>
      <c r="E90" s="46">
        <f t="shared" si="37"/>
        <v>0.91168919175214558</v>
      </c>
      <c r="F90" s="46">
        <f t="shared" si="37"/>
        <v>0.3191832953710223</v>
      </c>
      <c r="G90" s="46">
        <f t="shared" si="37"/>
        <v>0.16420339010975354</v>
      </c>
      <c r="H90" s="46">
        <f t="shared" si="37"/>
        <v>0.16420339010975354</v>
      </c>
      <c r="I90" s="46">
        <f t="shared" si="37"/>
        <v>0.18057507571581419</v>
      </c>
      <c r="J90" s="46">
        <f t="shared" si="37"/>
        <v>0.20344163190268291</v>
      </c>
      <c r="K90" s="46">
        <f t="shared" si="37"/>
        <v>0.23577929708932524</v>
      </c>
      <c r="L90" s="46">
        <f t="shared" si="37"/>
        <v>0.3455386362940337</v>
      </c>
      <c r="M90" s="46">
        <f t="shared" si="37"/>
        <v>0.3597581754354478</v>
      </c>
      <c r="N90" s="46">
        <f t="shared" si="37"/>
        <v>0.92367972205517579</v>
      </c>
      <c r="O90" s="46">
        <f t="shared" si="37"/>
        <v>0.92367972205517579</v>
      </c>
      <c r="P90" s="35"/>
    </row>
    <row r="91" spans="1:16" s="33" customFormat="1" x14ac:dyDescent="0.25">
      <c r="A91" s="5" t="s">
        <v>60</v>
      </c>
      <c r="B91" s="5"/>
      <c r="C91" s="5" t="s">
        <v>235</v>
      </c>
      <c r="D91" s="46">
        <f t="shared" si="37"/>
        <v>4.0691389120258723</v>
      </c>
      <c r="E91" s="46">
        <f t="shared" si="37"/>
        <v>4.0691389120258723</v>
      </c>
      <c r="F91" s="46">
        <f t="shared" si="37"/>
        <v>2.1739209395987946</v>
      </c>
      <c r="G91" s="46">
        <f t="shared" si="37"/>
        <v>1.152293487476165</v>
      </c>
      <c r="H91" s="46">
        <f t="shared" si="37"/>
        <v>1.152293487476165</v>
      </c>
      <c r="I91" s="46">
        <f t="shared" si="37"/>
        <v>1.1542150468195995</v>
      </c>
      <c r="J91" s="46">
        <f t="shared" si="37"/>
        <v>1.0981439451781851</v>
      </c>
      <c r="K91" s="46">
        <f t="shared" si="37"/>
        <v>1.2609915629351558</v>
      </c>
      <c r="L91" s="46">
        <f t="shared" si="37"/>
        <v>1.8270373097245851</v>
      </c>
      <c r="M91" s="46">
        <f t="shared" si="37"/>
        <v>1.8427940963407463</v>
      </c>
      <c r="N91" s="46">
        <f t="shared" si="37"/>
        <v>4.1075700988945592</v>
      </c>
      <c r="O91" s="46">
        <f t="shared" si="37"/>
        <v>4.1075700988945592</v>
      </c>
      <c r="P91" s="35"/>
    </row>
    <row r="92" spans="1:16" s="33" customFormat="1" x14ac:dyDescent="0.25">
      <c r="E92" s="40"/>
      <c r="F92" s="40"/>
      <c r="G92" s="40"/>
      <c r="H92" s="40"/>
      <c r="I92" s="40"/>
      <c r="J92" s="40"/>
      <c r="K92" s="40"/>
      <c r="L92" s="40"/>
      <c r="M92" s="40"/>
      <c r="N92" s="40"/>
      <c r="O92" s="40"/>
      <c r="P92" s="35"/>
    </row>
    <row r="93" spans="1:16" s="33" customFormat="1" x14ac:dyDescent="0.25">
      <c r="A93" s="5" t="s">
        <v>236</v>
      </c>
      <c r="E93" s="40"/>
      <c r="F93" s="40"/>
      <c r="G93" s="40"/>
      <c r="H93" s="40"/>
      <c r="I93" s="40"/>
      <c r="J93" s="40"/>
      <c r="K93" s="40"/>
      <c r="L93" s="40"/>
      <c r="M93" s="40"/>
      <c r="N93" s="40"/>
      <c r="O93" s="40"/>
      <c r="P93" s="35"/>
    </row>
    <row r="94" spans="1:16" s="33" customFormat="1" x14ac:dyDescent="0.25">
      <c r="A94" s="5" t="s">
        <v>58</v>
      </c>
      <c r="B94" s="239" t="s">
        <v>746</v>
      </c>
      <c r="C94" s="5" t="s">
        <v>275</v>
      </c>
      <c r="D94" s="46">
        <f>IF(D69&lt;=0,0,D84/D69)</f>
        <v>0</v>
      </c>
      <c r="E94" s="46">
        <f t="shared" ref="E94:O94" si="38">IF(E69&lt;=0,0,E84/E69)</f>
        <v>0</v>
      </c>
      <c r="F94" s="46">
        <f t="shared" si="38"/>
        <v>0</v>
      </c>
      <c r="G94" s="46">
        <f t="shared" si="38"/>
        <v>0</v>
      </c>
      <c r="H94" s="46">
        <f t="shared" si="38"/>
        <v>0</v>
      </c>
      <c r="I94" s="46">
        <f t="shared" si="38"/>
        <v>0</v>
      </c>
      <c r="J94" s="46">
        <f t="shared" si="38"/>
        <v>0</v>
      </c>
      <c r="K94" s="46">
        <f t="shared" si="38"/>
        <v>0</v>
      </c>
      <c r="L94" s="46">
        <f t="shared" si="38"/>
        <v>0</v>
      </c>
      <c r="M94" s="46">
        <f t="shared" si="38"/>
        <v>0</v>
      </c>
      <c r="N94" s="46">
        <f t="shared" si="38"/>
        <v>0</v>
      </c>
      <c r="O94" s="46">
        <f t="shared" si="38"/>
        <v>0</v>
      </c>
      <c r="P94" s="30"/>
    </row>
    <row r="95" spans="1:16" s="33" customFormat="1" x14ac:dyDescent="0.25">
      <c r="A95" s="5" t="s">
        <v>59</v>
      </c>
      <c r="B95" s="5"/>
      <c r="C95" s="5" t="s">
        <v>276</v>
      </c>
      <c r="D95" s="46">
        <f>IF(D69&lt;=0,0,D85/D69)</f>
        <v>0</v>
      </c>
      <c r="E95" s="46">
        <f t="shared" ref="E95:O95" si="39">IF(E69&lt;=0,0,E85/E69)</f>
        <v>0</v>
      </c>
      <c r="F95" s="46">
        <f t="shared" si="39"/>
        <v>0</v>
      </c>
      <c r="G95" s="46">
        <f t="shared" si="39"/>
        <v>0</v>
      </c>
      <c r="H95" s="46">
        <f t="shared" si="39"/>
        <v>0</v>
      </c>
      <c r="I95" s="46">
        <f t="shared" si="39"/>
        <v>0</v>
      </c>
      <c r="J95" s="46">
        <f t="shared" si="39"/>
        <v>0</v>
      </c>
      <c r="K95" s="46">
        <f t="shared" si="39"/>
        <v>0</v>
      </c>
      <c r="L95" s="46">
        <f t="shared" si="39"/>
        <v>0</v>
      </c>
      <c r="M95" s="46">
        <f t="shared" si="39"/>
        <v>0</v>
      </c>
      <c r="N95" s="46">
        <f t="shared" si="39"/>
        <v>0</v>
      </c>
      <c r="O95" s="46">
        <f t="shared" si="39"/>
        <v>0</v>
      </c>
      <c r="P95" s="35"/>
    </row>
    <row r="96" spans="1:16" s="33" customFormat="1" x14ac:dyDescent="0.25">
      <c r="A96" s="5" t="s">
        <v>60</v>
      </c>
      <c r="B96" s="5"/>
      <c r="C96" s="5" t="s">
        <v>277</v>
      </c>
      <c r="D96" s="46">
        <f>IF(D69&lt;=0,0,D86/D69)</f>
        <v>0</v>
      </c>
      <c r="E96" s="46">
        <f t="shared" ref="E96:O96" si="40">IF(E69&lt;=0,0,E86/E69)</f>
        <v>0</v>
      </c>
      <c r="F96" s="46">
        <f t="shared" si="40"/>
        <v>0</v>
      </c>
      <c r="G96" s="46">
        <f t="shared" si="40"/>
        <v>0</v>
      </c>
      <c r="H96" s="46">
        <f t="shared" si="40"/>
        <v>0</v>
      </c>
      <c r="I96" s="46">
        <f t="shared" si="40"/>
        <v>0</v>
      </c>
      <c r="J96" s="46">
        <f t="shared" si="40"/>
        <v>0</v>
      </c>
      <c r="K96" s="46">
        <f t="shared" si="40"/>
        <v>0</v>
      </c>
      <c r="L96" s="46">
        <f t="shared" si="40"/>
        <v>0</v>
      </c>
      <c r="M96" s="46">
        <f t="shared" si="40"/>
        <v>0</v>
      </c>
      <c r="N96" s="46">
        <f t="shared" si="40"/>
        <v>0</v>
      </c>
      <c r="O96" s="46">
        <f t="shared" si="40"/>
        <v>0</v>
      </c>
      <c r="P96" s="35"/>
    </row>
    <row r="97" spans="1:16" s="33" customFormat="1" x14ac:dyDescent="0.25">
      <c r="E97" s="40"/>
      <c r="F97" s="40"/>
      <c r="G97" s="40"/>
      <c r="H97" s="40"/>
      <c r="I97" s="40"/>
      <c r="J97" s="40"/>
      <c r="K97" s="40"/>
      <c r="L97" s="40"/>
      <c r="M97" s="40"/>
      <c r="N97" s="40"/>
      <c r="O97" s="40"/>
      <c r="P97" s="35"/>
    </row>
    <row r="98" spans="1:16" x14ac:dyDescent="0.25">
      <c r="A98" s="9"/>
      <c r="D98" s="28"/>
      <c r="E98" s="28"/>
      <c r="F98" s="28"/>
      <c r="G98" s="28"/>
      <c r="H98" s="28"/>
      <c r="I98" s="28"/>
      <c r="J98" s="28"/>
      <c r="K98" s="28"/>
      <c r="L98" s="28"/>
      <c r="M98" s="28"/>
      <c r="N98" s="28"/>
      <c r="O98" s="28"/>
      <c r="P98" s="30"/>
    </row>
    <row r="99" spans="1:16" x14ac:dyDescent="0.25">
      <c r="D99" s="28"/>
      <c r="E99" s="28"/>
      <c r="F99" s="28"/>
      <c r="G99" s="28"/>
      <c r="H99" s="28"/>
      <c r="I99" s="28"/>
      <c r="J99" s="28"/>
      <c r="K99" s="28"/>
      <c r="L99" s="28"/>
      <c r="M99" s="28"/>
      <c r="N99" s="28"/>
      <c r="O99" s="28"/>
      <c r="P99" s="30"/>
    </row>
    <row r="100" spans="1:16" x14ac:dyDescent="0.25">
      <c r="D100" s="28"/>
      <c r="E100" s="28"/>
      <c r="F100" s="28"/>
      <c r="G100" s="28"/>
      <c r="H100" s="28"/>
      <c r="I100" s="28"/>
      <c r="J100" s="28"/>
      <c r="K100" s="28"/>
      <c r="L100" s="28"/>
      <c r="M100" s="28"/>
      <c r="N100" s="28"/>
      <c r="O100" s="28"/>
      <c r="P100" s="30"/>
    </row>
    <row r="101" spans="1:16" x14ac:dyDescent="0.25">
      <c r="P101" s="30"/>
    </row>
    <row r="102" spans="1:16" x14ac:dyDescent="0.25">
      <c r="A102" s="3" t="s">
        <v>23</v>
      </c>
      <c r="B102" s="3"/>
      <c r="C102" s="3"/>
      <c r="D102" s="3" t="s">
        <v>132</v>
      </c>
      <c r="E102" s="3" t="s">
        <v>133</v>
      </c>
      <c r="F102" s="3" t="s">
        <v>134</v>
      </c>
      <c r="G102" s="3" t="s">
        <v>135</v>
      </c>
      <c r="H102" s="3" t="s">
        <v>136</v>
      </c>
      <c r="I102" s="3" t="s">
        <v>137</v>
      </c>
      <c r="J102" s="3" t="s">
        <v>138</v>
      </c>
      <c r="K102" s="3" t="s">
        <v>139</v>
      </c>
      <c r="L102" s="3" t="s">
        <v>140</v>
      </c>
      <c r="M102" s="3" t="s">
        <v>141</v>
      </c>
      <c r="N102" s="3" t="s">
        <v>142</v>
      </c>
      <c r="O102" s="3" t="s">
        <v>143</v>
      </c>
      <c r="P102" s="30"/>
    </row>
    <row r="103" spans="1:16" x14ac:dyDescent="0.25">
      <c r="A103" s="42" t="s">
        <v>280</v>
      </c>
      <c r="B103" s="42"/>
      <c r="C103" s="42"/>
      <c r="D103" s="39">
        <f>'Saisie 2_bovins'!G13</f>
        <v>0</v>
      </c>
      <c r="E103" s="39">
        <f>'Saisie 2_bovins'!H13</f>
        <v>0</v>
      </c>
      <c r="F103" s="39">
        <f>'Saisie 2_bovins'!I13</f>
        <v>0</v>
      </c>
      <c r="G103" s="39">
        <f>'Saisie 2_bovins'!J13</f>
        <v>0</v>
      </c>
      <c r="H103" s="39">
        <f>'Saisie 2_bovins'!K13</f>
        <v>0</v>
      </c>
      <c r="I103" s="39">
        <f>'Saisie 2_bovins'!L13</f>
        <v>0</v>
      </c>
      <c r="J103" s="39">
        <f>'Saisie 2_bovins'!M13</f>
        <v>0</v>
      </c>
      <c r="K103" s="39">
        <f>'Saisie 2_bovins'!N13</f>
        <v>0</v>
      </c>
      <c r="L103" s="39">
        <f>'Saisie 2_bovins'!O13</f>
        <v>0</v>
      </c>
      <c r="M103" s="39">
        <f>'Saisie 2_bovins'!P13</f>
        <v>0</v>
      </c>
      <c r="N103" s="39">
        <f>'Saisie 2_bovins'!Q13</f>
        <v>0</v>
      </c>
      <c r="O103" s="39">
        <f>'Saisie 2_bovins'!R13</f>
        <v>0</v>
      </c>
      <c r="P103" s="30"/>
    </row>
    <row r="104" spans="1:16" x14ac:dyDescent="0.25">
      <c r="A104" t="s">
        <v>151</v>
      </c>
      <c r="B104" s="291" t="s">
        <v>1033</v>
      </c>
      <c r="C104" t="s">
        <v>279</v>
      </c>
      <c r="D104" s="28">
        <f>IF(D103=param_bovins!$A$101,param_bovins!$H$101*'Saisie 2_bovins'!$D$13+param_bovins!$I$101,IF(D103=param_bovins!$A$102,param_bovins!$H$102*'Saisie 2_bovins'!$D$13+param_bovins!$I$102,IF(D103=param_bovins!$A$103,param_bovins!$H$103*'Saisie 2_bovins'!$D$13+param_bovins!$I$103,IF(D103=param_bovins!$A$104,param_bovins!$H$104*'Saisie 2_bovins'!$D$13+param_bovins!$I$104,0))))</f>
        <v>0</v>
      </c>
      <c r="E104" s="28">
        <f>IF(E103=param_bovins!$A$101,param_bovins!$H$101*'Saisie 2_bovins'!$D$13+param_bovins!$I$101,IF(E103=param_bovins!$A$102,param_bovins!$H$102*'Saisie 2_bovins'!$D$13+param_bovins!$I$102,IF(E103=param_bovins!$A$103,param_bovins!$H$103*'Saisie 2_bovins'!$D$13+param_bovins!$I$103,IF(E103=param_bovins!$A$104,param_bovins!$H$104*'Saisie 2_bovins'!$D$13+param_bovins!$I$104,0))))</f>
        <v>0</v>
      </c>
      <c r="F104" s="28">
        <f>IF(F103=param_bovins!$A$101,param_bovins!$H$101*'Saisie 2_bovins'!$D$13+param_bovins!$I$101,IF(F103=param_bovins!$A$102,param_bovins!$H$102*'Saisie 2_bovins'!$D$13+param_bovins!$I$102,IF(F103=param_bovins!$A$103,param_bovins!$H$103*'Saisie 2_bovins'!$D$13+param_bovins!$I$103,IF(F103=param_bovins!$A$104,param_bovins!$H$104*'Saisie 2_bovins'!$D$13+param_bovins!$I$104,0))))</f>
        <v>0</v>
      </c>
      <c r="G104" s="28">
        <f>IF(G103=param_bovins!$A$101,param_bovins!$H$101*'Saisie 2_bovins'!$D$13+param_bovins!$I$101,IF(G103=param_bovins!$A$102,param_bovins!$H$102*'Saisie 2_bovins'!$D$13+param_bovins!$I$102,IF(G103=param_bovins!$A$103,param_bovins!$H$103*'Saisie 2_bovins'!$D$13+param_bovins!$I$103,IF(G103=param_bovins!$A$104,param_bovins!$H$104*'Saisie 2_bovins'!$D$13+param_bovins!$I$104,0))))</f>
        <v>0</v>
      </c>
      <c r="H104" s="28">
        <f>IF(H103=param_bovins!$A$101,param_bovins!$H$101*'Saisie 2_bovins'!$D$13+param_bovins!$I$101,IF(H103=param_bovins!$A$102,param_bovins!$H$102*'Saisie 2_bovins'!$D$13+param_bovins!$I$102,IF(H103=param_bovins!$A$103,param_bovins!$H$103*'Saisie 2_bovins'!$D$13+param_bovins!$I$103,IF(H103=param_bovins!$A$104,param_bovins!$H$104*'Saisie 2_bovins'!$D$13+param_bovins!$I$104,0))))</f>
        <v>0</v>
      </c>
      <c r="I104" s="28">
        <f>IF(I103=param_bovins!$A$101,param_bovins!$H$101*'Saisie 2_bovins'!$D$13+param_bovins!$I$101,IF(I103=param_bovins!$A$102,param_bovins!$H$102*'Saisie 2_bovins'!$D$13+param_bovins!$I$102,IF(I103=param_bovins!$A$103,param_bovins!$H$103*'Saisie 2_bovins'!$D$13+param_bovins!$I$103,IF(I103=param_bovins!$A$104,param_bovins!$H$104*'Saisie 2_bovins'!$D$13+param_bovins!$I$104,0))))</f>
        <v>0</v>
      </c>
      <c r="J104" s="28">
        <f>IF(J103=param_bovins!$A$101,param_bovins!$H$101*'Saisie 2_bovins'!$D$13+param_bovins!$I$101,IF(J103=param_bovins!$A$102,param_bovins!$H$102*'Saisie 2_bovins'!$D$13+param_bovins!$I$102,IF(J103=param_bovins!$A$103,param_bovins!$H$103*'Saisie 2_bovins'!$D$13+param_bovins!$I$103,IF(J103=param_bovins!$A$104,param_bovins!$H$104*'Saisie 2_bovins'!$D$13+param_bovins!$I$104,0))))</f>
        <v>0</v>
      </c>
      <c r="K104" s="28">
        <f>IF(K103=param_bovins!$A$101,param_bovins!$H$101*'Saisie 2_bovins'!$D$13+param_bovins!$I$101,IF(K103=param_bovins!$A$102,param_bovins!$H$102*'Saisie 2_bovins'!$D$13+param_bovins!$I$102,IF(K103=param_bovins!$A$103,param_bovins!$H$103*'Saisie 2_bovins'!$D$13+param_bovins!$I$103,IF(K103=param_bovins!$A$104,param_bovins!$H$104*'Saisie 2_bovins'!$D$13+param_bovins!$I$104,0))))</f>
        <v>0</v>
      </c>
      <c r="L104" s="28">
        <f>IF(L103=param_bovins!$A$101,param_bovins!$H$101*'Saisie 2_bovins'!$D$13+param_bovins!$I$101,IF(L103=param_bovins!$A$102,param_bovins!$H$102*'Saisie 2_bovins'!$D$13+param_bovins!$I$102,IF(L103=param_bovins!$A$103,param_bovins!$H$103*'Saisie 2_bovins'!$D$13+param_bovins!$I$103,IF(L103=param_bovins!$A$104,param_bovins!$H$104*'Saisie 2_bovins'!$D$13+param_bovins!$I$104,0))))</f>
        <v>0</v>
      </c>
      <c r="M104" s="28">
        <f>IF(M103=param_bovins!$A$101,param_bovins!$H$101*'Saisie 2_bovins'!$D$13+param_bovins!$I$101,IF(M103=param_bovins!$A$102,param_bovins!$H$102*'Saisie 2_bovins'!$D$13+param_bovins!$I$102,IF(M103=param_bovins!$A$103,param_bovins!$H$103*'Saisie 2_bovins'!$D$13+param_bovins!$I$103,IF(M103=param_bovins!$A$104,param_bovins!$H$104*'Saisie 2_bovins'!$D$13+param_bovins!$I$104,0))))</f>
        <v>0</v>
      </c>
      <c r="N104" s="28">
        <f>IF(N103=param_bovins!$A$101,param_bovins!$H$101*'Saisie 2_bovins'!$D$13+param_bovins!$I$101,IF(N103=param_bovins!$A$102,param_bovins!$H$102*'Saisie 2_bovins'!$D$13+param_bovins!$I$102,IF(N103=param_bovins!$A$103,param_bovins!$H$103*'Saisie 2_bovins'!$D$13+param_bovins!$I$103,IF(N103=param_bovins!$A$104,param_bovins!$H$104*'Saisie 2_bovins'!$D$13+param_bovins!$I$104,0))))</f>
        <v>0</v>
      </c>
      <c r="O104" s="28">
        <f>IF(O103=param_bovins!$A$101,param_bovins!$H$101*'Saisie 2_bovins'!$D$13+param_bovins!$I$101,IF(O103=param_bovins!$A$102,param_bovins!$H$102*'Saisie 2_bovins'!$D$13+param_bovins!$I$102,IF(O103=param_bovins!$A$103,param_bovins!$H$103*'Saisie 2_bovins'!$D$13+param_bovins!$I$103,IF(O103=param_bovins!$A$104,param_bovins!$H$104*'Saisie 2_bovins'!$D$13+param_bovins!$I$104,0))))</f>
        <v>0</v>
      </c>
      <c r="P104" s="30" t="s">
        <v>330</v>
      </c>
    </row>
    <row r="105" spans="1:16" x14ac:dyDescent="0.25">
      <c r="A105" s="291" t="s">
        <v>1039</v>
      </c>
      <c r="B105" s="291" t="s">
        <v>1033</v>
      </c>
      <c r="C105" t="s">
        <v>281</v>
      </c>
      <c r="D105" s="28">
        <f>IF(D103=param_bovins!$A$101,param_bovins!$B$101*'Saisie 2_bovins'!$D$13+param_bovins!$C$101,IF(D103=param_bovins!$A$102,param_bovins!$B$102*'Saisie 2_bovins'!$D$13+param_bovins!$C$102,IF(D103=param_bovins!$A$103,param_bovins!$B$103*'Saisie 2_bovins'!$D$13+param_bovins!$C$103,IF(D103=param_bovins!$A$104,param_bovins!$B$104*'Saisie 2_bovins'!$D$13+param_bovins!$C$104,0))))</f>
        <v>0</v>
      </c>
      <c r="E105" s="28">
        <f>IF(E103=param_bovins!$A$101,param_bovins!$B$101*'Saisie 2_bovins'!$D$13+param_bovins!$C$101,IF(E103=param_bovins!$A$102,param_bovins!$B$102*'Saisie 2_bovins'!$D$13+param_bovins!$C$102,IF(E103=param_bovins!$A$103,param_bovins!$B$103*'Saisie 2_bovins'!$D$13+param_bovins!$C$103,IF(E103=param_bovins!$A$104,param_bovins!$B$104*'Saisie 2_bovins'!$D$13+param_bovins!$C$104,0))))</f>
        <v>0</v>
      </c>
      <c r="F105" s="28">
        <f>IF(F103=param_bovins!$A$101,param_bovins!$B$101*'Saisie 2_bovins'!$D$13+param_bovins!$C$101,IF(F103=param_bovins!$A$102,param_bovins!$B$102*'Saisie 2_bovins'!$D$13+param_bovins!$C$102,IF(F103=param_bovins!$A$103,param_bovins!$B$103*'Saisie 2_bovins'!$D$13+param_bovins!$C$103,IF(F103=param_bovins!$A$104,param_bovins!$B$104*'Saisie 2_bovins'!$D$13+param_bovins!$C$104,0))))</f>
        <v>0</v>
      </c>
      <c r="G105" s="28">
        <f>IF(G103=param_bovins!$A$101,param_bovins!$B$101*'Saisie 2_bovins'!$D$13+param_bovins!$C$101,IF(G103=param_bovins!$A$102,param_bovins!$B$102*'Saisie 2_bovins'!$D$13+param_bovins!$C$102,IF(G103=param_bovins!$A$103,param_bovins!$B$103*'Saisie 2_bovins'!$D$13+param_bovins!$C$103,IF(G103=param_bovins!$A$104,param_bovins!$B$104*'Saisie 2_bovins'!$D$13+param_bovins!$C$104,0))))</f>
        <v>0</v>
      </c>
      <c r="H105" s="28">
        <f>IF(H103=param_bovins!$A$101,param_bovins!$B$101*'Saisie 2_bovins'!$D$13+param_bovins!$C$101,IF(H103=param_bovins!$A$102,param_bovins!$B$102*'Saisie 2_bovins'!$D$13+param_bovins!$C$102,IF(H103=param_bovins!$A$103,param_bovins!$B$103*'Saisie 2_bovins'!$D$13+param_bovins!$C$103,IF(H103=param_bovins!$A$104,param_bovins!$B$104*'Saisie 2_bovins'!$D$13+param_bovins!$C$104,0))))</f>
        <v>0</v>
      </c>
      <c r="I105" s="28">
        <f>IF(I103=param_bovins!$A$101,param_bovins!$B$101*'Saisie 2_bovins'!$D$13+param_bovins!$C$101,IF(I103=param_bovins!$A$102,param_bovins!$B$102*'Saisie 2_bovins'!$D$13+param_bovins!$C$102,IF(I103=param_bovins!$A$103,param_bovins!$B$103*'Saisie 2_bovins'!$D$13+param_bovins!$C$103,IF(I103=param_bovins!$A$104,param_bovins!$B$104*'Saisie 2_bovins'!$D$13+param_bovins!$C$104,0))))</f>
        <v>0</v>
      </c>
      <c r="J105" s="28">
        <f>IF(J103=param_bovins!$A$101,param_bovins!$B$101*'Saisie 2_bovins'!$D$13+param_bovins!$C$101,IF(J103=param_bovins!$A$102,param_bovins!$B$102*'Saisie 2_bovins'!$D$13+param_bovins!$C$102,IF(J103=param_bovins!$A$103,param_bovins!$B$103*'Saisie 2_bovins'!$D$13+param_bovins!$C$103,IF(J103=param_bovins!$A$104,param_bovins!$B$104*'Saisie 2_bovins'!$D$13+param_bovins!$C$104,0))))</f>
        <v>0</v>
      </c>
      <c r="K105" s="28">
        <f>IF(K103=param_bovins!$A$101,param_bovins!$B$101*'Saisie 2_bovins'!$D$13+param_bovins!$C$101,IF(K103=param_bovins!$A$102,param_bovins!$B$102*'Saisie 2_bovins'!$D$13+param_bovins!$C$102,IF(K103=param_bovins!$A$103,param_bovins!$B$103*'Saisie 2_bovins'!$D$13+param_bovins!$C$103,IF(K103=param_bovins!$A$104,param_bovins!$B$104*'Saisie 2_bovins'!$D$13+param_bovins!$C$104,0))))</f>
        <v>0</v>
      </c>
      <c r="L105" s="28">
        <f>IF(L103=param_bovins!$A$101,param_bovins!$B$101*'Saisie 2_bovins'!$D$13+param_bovins!$C$101,IF(L103=param_bovins!$A$102,param_bovins!$B$102*'Saisie 2_bovins'!$D$13+param_bovins!$C$102,IF(L103=param_bovins!$A$103,param_bovins!$B$103*'Saisie 2_bovins'!$D$13+param_bovins!$C$103,IF(L103=param_bovins!$A$104,param_bovins!$B$104*'Saisie 2_bovins'!$D$13+param_bovins!$C$104,0))))</f>
        <v>0</v>
      </c>
      <c r="M105" s="28">
        <f>IF(M103=param_bovins!$A$101,param_bovins!$B$101*'Saisie 2_bovins'!$D$13+param_bovins!$C$101,IF(M103=param_bovins!$A$102,param_bovins!$B$102*'Saisie 2_bovins'!$D$13+param_bovins!$C$102,IF(M103=param_bovins!$A$103,param_bovins!$B$103*'Saisie 2_bovins'!$D$13+param_bovins!$C$103,IF(M103=param_bovins!$A$104,param_bovins!$B$104*'Saisie 2_bovins'!$D$13+param_bovins!$C$104,0))))</f>
        <v>0</v>
      </c>
      <c r="N105" s="28">
        <f>IF(N103=param_bovins!$A$101,param_bovins!$B$101*'Saisie 2_bovins'!$D$13+param_bovins!$C$101,IF(N103=param_bovins!$A$102,param_bovins!$B$102*'Saisie 2_bovins'!$D$13+param_bovins!$C$102,IF(N103=param_bovins!$A$103,param_bovins!$B$103*'Saisie 2_bovins'!$D$13+param_bovins!$C$103,IF(N103=param_bovins!$A$104,param_bovins!$B$104*'Saisie 2_bovins'!$D$13+param_bovins!$C$104,0))))</f>
        <v>0</v>
      </c>
      <c r="O105" s="28">
        <f>IF(O103=param_bovins!$A$101,param_bovins!$B$101*'Saisie 2_bovins'!$D$13+param_bovins!$C$101,IF(O103=param_bovins!$A$102,param_bovins!$B$102*'Saisie 2_bovins'!$D$13+param_bovins!$C$102,IF(O103=param_bovins!$A$103,param_bovins!$B$103*'Saisie 2_bovins'!$D$13+param_bovins!$C$103,IF(O103=param_bovins!$A$104,param_bovins!$B$104*'Saisie 2_bovins'!$D$13+param_bovins!$C$104,0))))</f>
        <v>0</v>
      </c>
      <c r="P105" s="30"/>
    </row>
    <row r="106" spans="1:16" x14ac:dyDescent="0.25">
      <c r="A106" s="291" t="s">
        <v>1040</v>
      </c>
      <c r="B106" s="291" t="s">
        <v>1033</v>
      </c>
      <c r="C106" t="s">
        <v>282</v>
      </c>
      <c r="D106" s="28">
        <f>IF(D103=param_bovins!$A$101,param_bovins!$D$101*'Saisie 2_bovins'!$D$13+param_bovins!$E$101,1.4)</f>
        <v>1.4</v>
      </c>
      <c r="E106" s="28">
        <f>IF(E103=param_bovins!$A$101,param_bovins!$D$101*'Saisie 2_bovins'!$D$13+param_bovins!$E$101,1.4)</f>
        <v>1.4</v>
      </c>
      <c r="F106" s="28">
        <f>IF(F103=param_bovins!$A$101,param_bovins!$D$101*'Saisie 2_bovins'!$D$13+param_bovins!$E$101,1.4)</f>
        <v>1.4</v>
      </c>
      <c r="G106" s="28">
        <f>IF(G103=param_bovins!$A$101,param_bovins!$D$101*'Saisie 2_bovins'!$D$13+param_bovins!$E$101,1.4)</f>
        <v>1.4</v>
      </c>
      <c r="H106" s="28">
        <f>IF(H103=param_bovins!$A$101,param_bovins!$D$101*'Saisie 2_bovins'!$D$13+param_bovins!$E$101,1.4)</f>
        <v>1.4</v>
      </c>
      <c r="I106" s="28">
        <f>IF(I103=param_bovins!$A$101,param_bovins!$D$101*'Saisie 2_bovins'!$D$13+param_bovins!$E$101,1.4)</f>
        <v>1.4</v>
      </c>
      <c r="J106" s="28">
        <f>IF(J103=param_bovins!$A$101,param_bovins!$D$101*'Saisie 2_bovins'!$D$13+param_bovins!$E$101,1.4)</f>
        <v>1.4</v>
      </c>
      <c r="K106" s="28">
        <f>IF(K103=param_bovins!$A$101,param_bovins!$D$101*'Saisie 2_bovins'!$D$13+param_bovins!$E$101,1.4)</f>
        <v>1.4</v>
      </c>
      <c r="L106" s="28">
        <f>IF(L103=param_bovins!$A$101,param_bovins!$D$101*'Saisie 2_bovins'!$D$13+param_bovins!$E$101,1.4)</f>
        <v>1.4</v>
      </c>
      <c r="M106" s="28">
        <f>IF(M103=param_bovins!$A$101,param_bovins!$D$101*'Saisie 2_bovins'!$D$13+param_bovins!$E$101,1.4)</f>
        <v>1.4</v>
      </c>
      <c r="N106" s="28">
        <f>IF(N103=param_bovins!$A$101,param_bovins!$D$101*'Saisie 2_bovins'!$D$13+param_bovins!$E$101,1.4)</f>
        <v>1.4</v>
      </c>
      <c r="O106" s="28">
        <f>IF(O103=param_bovins!$A$101,param_bovins!$D$101*'Saisie 2_bovins'!$D$13+param_bovins!$E$101,1.4)</f>
        <v>1.4</v>
      </c>
      <c r="P106" s="30"/>
    </row>
    <row r="107" spans="1:16" x14ac:dyDescent="0.25">
      <c r="A107" s="291" t="s">
        <v>1041</v>
      </c>
      <c r="B107" s="291" t="s">
        <v>1033</v>
      </c>
      <c r="C107" t="s">
        <v>283</v>
      </c>
      <c r="D107" s="28">
        <f>IF(D103=param_bovins!$A$101,param_bovins!$F$101*'Saisie 2_bovins'!$D$13+param_bovins!$G$101,IF(D103=param_bovins!$A$102,param_bovins!$F$102*'Saisie 2_bovins'!$D$13+param_bovins!$G$102,IF(D103=param_bovins!$A$103,param_bovins!$F$103*'Saisie 2_bovins'!$D$13+param_bovins!$G$103,IF(D103=param_bovins!$A$104,param_bovins!$F$104*'Saisie 2_bovins'!$D$13+param_bovins!$G$104,0))))</f>
        <v>0</v>
      </c>
      <c r="E107" s="28">
        <f>IF(E103=param_bovins!$A$101,param_bovins!$F$101*'Saisie 2_bovins'!$D$13+param_bovins!$G$101,IF(E103=param_bovins!$A$102,param_bovins!$F$102*'Saisie 2_bovins'!$D$13+param_bovins!$G$102,IF(E103=param_bovins!$A$103,param_bovins!$F$103*'Saisie 2_bovins'!$D$13+param_bovins!$G$103,IF(E103=param_bovins!$A$104,param_bovins!$F$104*'Saisie 2_bovins'!$D$13+param_bovins!$G$104,0))))</f>
        <v>0</v>
      </c>
      <c r="F107" s="28">
        <f>IF(F103=param_bovins!$A$101,param_bovins!$F$101*'Saisie 2_bovins'!$D$13+param_bovins!$G$101,IF(F103=param_bovins!$A$102,param_bovins!$F$102*'Saisie 2_bovins'!$D$13+param_bovins!$G$102,IF(F103=param_bovins!$A$103,param_bovins!$F$103*'Saisie 2_bovins'!$D$13+param_bovins!$G$103,IF(F103=param_bovins!$A$104,param_bovins!$F$104*'Saisie 2_bovins'!$D$13+param_bovins!$G$104,0))))</f>
        <v>0</v>
      </c>
      <c r="G107" s="28">
        <f>IF(G103=param_bovins!$A$101,param_bovins!$F$101*'Saisie 2_bovins'!$D$13+param_bovins!$G$101,IF(G103=param_bovins!$A$102,param_bovins!$F$102*'Saisie 2_bovins'!$D$13+param_bovins!$G$102,IF(G103=param_bovins!$A$103,param_bovins!$F$103*'Saisie 2_bovins'!$D$13+param_bovins!$G$103,IF(G103=param_bovins!$A$104,param_bovins!$F$104*'Saisie 2_bovins'!$D$13+param_bovins!$G$104,0))))</f>
        <v>0</v>
      </c>
      <c r="H107" s="28">
        <f>IF(H103=param_bovins!$A$101,param_bovins!$F$101*'Saisie 2_bovins'!$D$13+param_bovins!$G$101,IF(H103=param_bovins!$A$102,param_bovins!$F$102*'Saisie 2_bovins'!$D$13+param_bovins!$G$102,IF(H103=param_bovins!$A$103,param_bovins!$F$103*'Saisie 2_bovins'!$D$13+param_bovins!$G$103,IF(H103=param_bovins!$A$104,param_bovins!$F$104*'Saisie 2_bovins'!$D$13+param_bovins!$G$104,0))))</f>
        <v>0</v>
      </c>
      <c r="I107" s="28">
        <f>IF(I103=param_bovins!$A$101,param_bovins!$F$101*'Saisie 2_bovins'!$D$13+param_bovins!$G$101,IF(I103=param_bovins!$A$102,param_bovins!$F$102*'Saisie 2_bovins'!$D$13+param_bovins!$G$102,IF(I103=param_bovins!$A$103,param_bovins!$F$103*'Saisie 2_bovins'!$D$13+param_bovins!$G$103,IF(I103=param_bovins!$A$104,param_bovins!$F$104*'Saisie 2_bovins'!$D$13+param_bovins!$G$104,0))))</f>
        <v>0</v>
      </c>
      <c r="J107" s="28">
        <f>IF(J103=param_bovins!$A$101,param_bovins!$F$101*'Saisie 2_bovins'!$D$13+param_bovins!$G$101,IF(J103=param_bovins!$A$102,param_bovins!$F$102*'Saisie 2_bovins'!$D$13+param_bovins!$G$102,IF(J103=param_bovins!$A$103,param_bovins!$F$103*'Saisie 2_bovins'!$D$13+param_bovins!$G$103,IF(J103=param_bovins!$A$104,param_bovins!$F$104*'Saisie 2_bovins'!$D$13+param_bovins!$G$104,0))))</f>
        <v>0</v>
      </c>
      <c r="K107" s="28">
        <f>IF(K103=param_bovins!$A$101,param_bovins!$F$101*'Saisie 2_bovins'!$D$13+param_bovins!$G$101,IF(K103=param_bovins!$A$102,param_bovins!$F$102*'Saisie 2_bovins'!$D$13+param_bovins!$G$102,IF(K103=param_bovins!$A$103,param_bovins!$F$103*'Saisie 2_bovins'!$D$13+param_bovins!$G$103,IF(K103=param_bovins!$A$104,param_bovins!$F$104*'Saisie 2_bovins'!$D$13+param_bovins!$G$104,0))))</f>
        <v>0</v>
      </c>
      <c r="L107" s="28">
        <f>IF(L103=param_bovins!$A$101,param_bovins!$F$101*'Saisie 2_bovins'!$D$13+param_bovins!$G$101,IF(L103=param_bovins!$A$102,param_bovins!$F$102*'Saisie 2_bovins'!$D$13+param_bovins!$G$102,IF(L103=param_bovins!$A$103,param_bovins!$F$103*'Saisie 2_bovins'!$D$13+param_bovins!$G$103,IF(L103=param_bovins!$A$104,param_bovins!$F$104*'Saisie 2_bovins'!$D$13+param_bovins!$G$104,0))))</f>
        <v>0</v>
      </c>
      <c r="M107" s="28">
        <f>IF(M103=param_bovins!$A$101,param_bovins!$F$101*'Saisie 2_bovins'!$D$13+param_bovins!$G$101,IF(M103=param_bovins!$A$102,param_bovins!$F$102*'Saisie 2_bovins'!$D$13+param_bovins!$G$102,IF(M103=param_bovins!$A$103,param_bovins!$F$103*'Saisie 2_bovins'!$D$13+param_bovins!$G$103,IF(M103=param_bovins!$A$104,param_bovins!$F$104*'Saisie 2_bovins'!$D$13+param_bovins!$G$104,0))))</f>
        <v>0</v>
      </c>
      <c r="N107" s="28">
        <f>IF(N103=param_bovins!$A$101,param_bovins!$F$101*'Saisie 2_bovins'!$D$13+param_bovins!$G$101,IF(N103=param_bovins!$A$102,param_bovins!$F$102*'Saisie 2_bovins'!$D$13+param_bovins!$G$102,IF(N103=param_bovins!$A$103,param_bovins!$F$103*'Saisie 2_bovins'!$D$13+param_bovins!$G$103,IF(N103=param_bovins!$A$104,param_bovins!$F$104*'Saisie 2_bovins'!$D$13+param_bovins!$G$104,0))))</f>
        <v>0</v>
      </c>
      <c r="O107" s="28">
        <f>IF(O103=param_bovins!$A$101,param_bovins!$F$101*'Saisie 2_bovins'!$D$13+param_bovins!$G$101,IF(O103=param_bovins!$A$102,param_bovins!$F$102*'Saisie 2_bovins'!$D$13+param_bovins!$G$102,IF(O103=param_bovins!$A$103,param_bovins!$F$103*'Saisie 2_bovins'!$D$13+param_bovins!$G$103,IF(O103=param_bovins!$A$104,param_bovins!$F$104*'Saisie 2_bovins'!$D$13+param_bovins!$G$104,0))))</f>
        <v>0</v>
      </c>
      <c r="P107" s="30"/>
    </row>
    <row r="108" spans="1:16" x14ac:dyDescent="0.25">
      <c r="A108" s="36" t="s">
        <v>291</v>
      </c>
      <c r="B108" s="36"/>
      <c r="C108" s="36" t="s">
        <v>284</v>
      </c>
      <c r="D108" s="41">
        <f>D105*12</f>
        <v>0</v>
      </c>
      <c r="E108" s="41">
        <f t="shared" ref="E108:O108" si="41">E105*12</f>
        <v>0</v>
      </c>
      <c r="F108" s="41">
        <f t="shared" si="41"/>
        <v>0</v>
      </c>
      <c r="G108" s="41">
        <f t="shared" si="41"/>
        <v>0</v>
      </c>
      <c r="H108" s="41">
        <f t="shared" si="41"/>
        <v>0</v>
      </c>
      <c r="I108" s="41">
        <f t="shared" si="41"/>
        <v>0</v>
      </c>
      <c r="J108" s="41">
        <f t="shared" si="41"/>
        <v>0</v>
      </c>
      <c r="K108" s="41">
        <f t="shared" si="41"/>
        <v>0</v>
      </c>
      <c r="L108" s="41">
        <f t="shared" si="41"/>
        <v>0</v>
      </c>
      <c r="M108" s="41">
        <f t="shared" si="41"/>
        <v>0</v>
      </c>
      <c r="N108" s="41">
        <f t="shared" si="41"/>
        <v>0</v>
      </c>
      <c r="O108" s="41">
        <f t="shared" si="41"/>
        <v>0</v>
      </c>
      <c r="P108" s="30"/>
    </row>
    <row r="109" spans="1:16" x14ac:dyDescent="0.25">
      <c r="A109" s="36"/>
      <c r="B109" s="36"/>
      <c r="C109" s="36" t="s">
        <v>285</v>
      </c>
      <c r="D109" s="41">
        <f>D106*12</f>
        <v>16.799999999999997</v>
      </c>
      <c r="E109" s="41">
        <f t="shared" ref="E109:O109" si="42">E106*12</f>
        <v>16.799999999999997</v>
      </c>
      <c r="F109" s="41">
        <f t="shared" si="42"/>
        <v>16.799999999999997</v>
      </c>
      <c r="G109" s="41">
        <f t="shared" si="42"/>
        <v>16.799999999999997</v>
      </c>
      <c r="H109" s="41">
        <f t="shared" si="42"/>
        <v>16.799999999999997</v>
      </c>
      <c r="I109" s="41">
        <f t="shared" si="42"/>
        <v>16.799999999999997</v>
      </c>
      <c r="J109" s="41">
        <f t="shared" si="42"/>
        <v>16.799999999999997</v>
      </c>
      <c r="K109" s="41">
        <f t="shared" si="42"/>
        <v>16.799999999999997</v>
      </c>
      <c r="L109" s="41">
        <f t="shared" si="42"/>
        <v>16.799999999999997</v>
      </c>
      <c r="M109" s="41">
        <f t="shared" si="42"/>
        <v>16.799999999999997</v>
      </c>
      <c r="N109" s="41">
        <f t="shared" si="42"/>
        <v>16.799999999999997</v>
      </c>
      <c r="O109" s="41">
        <f t="shared" si="42"/>
        <v>16.799999999999997</v>
      </c>
      <c r="P109" s="30"/>
    </row>
    <row r="110" spans="1:16" x14ac:dyDescent="0.25">
      <c r="A110" s="36"/>
      <c r="B110" s="36"/>
      <c r="C110" s="36" t="s">
        <v>286</v>
      </c>
      <c r="D110" s="41">
        <f>D107*12</f>
        <v>0</v>
      </c>
      <c r="E110" s="41">
        <f t="shared" ref="E110:O110" si="43">E107*12</f>
        <v>0</v>
      </c>
      <c r="F110" s="41">
        <f t="shared" si="43"/>
        <v>0</v>
      </c>
      <c r="G110" s="41">
        <f t="shared" si="43"/>
        <v>0</v>
      </c>
      <c r="H110" s="41">
        <f t="shared" si="43"/>
        <v>0</v>
      </c>
      <c r="I110" s="41">
        <f t="shared" si="43"/>
        <v>0</v>
      </c>
      <c r="J110" s="41">
        <f t="shared" si="43"/>
        <v>0</v>
      </c>
      <c r="K110" s="41">
        <f t="shared" si="43"/>
        <v>0</v>
      </c>
      <c r="L110" s="41">
        <f t="shared" si="43"/>
        <v>0</v>
      </c>
      <c r="M110" s="41">
        <f t="shared" si="43"/>
        <v>0</v>
      </c>
      <c r="N110" s="41">
        <f t="shared" si="43"/>
        <v>0</v>
      </c>
      <c r="O110" s="41">
        <f t="shared" si="43"/>
        <v>0</v>
      </c>
      <c r="P110" s="30"/>
    </row>
    <row r="111" spans="1:16" x14ac:dyDescent="0.25">
      <c r="A111" s="57"/>
      <c r="B111" s="57"/>
      <c r="C111" s="36" t="s">
        <v>287</v>
      </c>
      <c r="D111" s="56">
        <f>D104/(365.25/12)</f>
        <v>0</v>
      </c>
      <c r="E111" s="56">
        <f t="shared" ref="E111:O111" si="44">E104/(365.25/12)</f>
        <v>0</v>
      </c>
      <c r="F111" s="56">
        <f t="shared" si="44"/>
        <v>0</v>
      </c>
      <c r="G111" s="56">
        <f t="shared" si="44"/>
        <v>0</v>
      </c>
      <c r="H111" s="56">
        <f t="shared" si="44"/>
        <v>0</v>
      </c>
      <c r="I111" s="56">
        <f t="shared" si="44"/>
        <v>0</v>
      </c>
      <c r="J111" s="56">
        <f t="shared" si="44"/>
        <v>0</v>
      </c>
      <c r="K111" s="56">
        <f t="shared" si="44"/>
        <v>0</v>
      </c>
      <c r="L111" s="56">
        <f t="shared" si="44"/>
        <v>0</v>
      </c>
      <c r="M111" s="56">
        <f t="shared" si="44"/>
        <v>0</v>
      </c>
      <c r="N111" s="56">
        <f t="shared" si="44"/>
        <v>0</v>
      </c>
      <c r="O111" s="56">
        <f t="shared" si="44"/>
        <v>0</v>
      </c>
      <c r="P111" s="30"/>
    </row>
    <row r="112" spans="1:16" x14ac:dyDescent="0.25">
      <c r="A112" s="57"/>
      <c r="B112" s="57"/>
      <c r="C112" s="36" t="s">
        <v>290</v>
      </c>
      <c r="D112" s="56">
        <f>IF(D103=param_bovins!$A$101,param_bovins!$F$78*Calculs_bovins!D111,IF(D103=param_bovins!$A$102,param_bovins!$F$79*Calculs_bovins!D111,IF(D103=param_bovins!$A$103,param_bovins!$F$80*Calculs_bovins!D111,IF(D103=param_bovins!$A$104,param_bovins!$F$81*Calculs_bovins!D111,0))))</f>
        <v>0</v>
      </c>
      <c r="E112" s="56">
        <f>IF(E103=param_bovins!$A$101,param_bovins!$F$78*Calculs_bovins!E111,IF(E103=param_bovins!$A$102,param_bovins!$F$79*Calculs_bovins!E111,IF(E103=param_bovins!$A$103,param_bovins!$F$80*Calculs_bovins!E111,IF(E103=param_bovins!$A$104,param_bovins!$F$81*Calculs_bovins!E111,0))))</f>
        <v>0</v>
      </c>
      <c r="F112" s="56">
        <f>IF(F103=param_bovins!$A$101,param_bovins!$F$78*Calculs_bovins!F111,IF(F103=param_bovins!$A$102,param_bovins!$F$79*Calculs_bovins!F111,IF(F103=param_bovins!$A$103,param_bovins!$F$80*Calculs_bovins!F111,IF(F103=param_bovins!$A$104,param_bovins!$F$81*Calculs_bovins!F111,0))))</f>
        <v>0</v>
      </c>
      <c r="G112" s="56">
        <f>IF(G103=param_bovins!$A$101,param_bovins!$F$78*Calculs_bovins!G111,IF(G103=param_bovins!$A$102,param_bovins!$F$79*Calculs_bovins!G111,IF(G103=param_bovins!$A$103,param_bovins!$F$80*Calculs_bovins!G111,IF(G103=param_bovins!$A$104,param_bovins!$F$81*Calculs_bovins!G111,0))))</f>
        <v>0</v>
      </c>
      <c r="H112" s="56">
        <f>IF(H103=param_bovins!$A$101,param_bovins!$F$78*Calculs_bovins!H111,IF(H103=param_bovins!$A$102,param_bovins!$F$79*Calculs_bovins!H111,IF(H103=param_bovins!$A$103,param_bovins!$F$80*Calculs_bovins!H111,IF(H103=param_bovins!$A$104,param_bovins!$F$81*Calculs_bovins!H111,0))))</f>
        <v>0</v>
      </c>
      <c r="I112" s="56">
        <f>IF(I103=param_bovins!$A$101,param_bovins!$F$78*Calculs_bovins!I111,IF(I103=param_bovins!$A$102,param_bovins!$F$79*Calculs_bovins!I111,IF(I103=param_bovins!$A$103,param_bovins!$F$80*Calculs_bovins!I111,IF(I103=param_bovins!$A$104,param_bovins!$F$81*Calculs_bovins!I111,0))))</f>
        <v>0</v>
      </c>
      <c r="J112" s="56">
        <f>IF(J103=param_bovins!$A$101,param_bovins!$F$78*Calculs_bovins!J111,IF(J103=param_bovins!$A$102,param_bovins!$F$79*Calculs_bovins!J111,IF(J103=param_bovins!$A$103,param_bovins!$F$80*Calculs_bovins!J111,IF(J103=param_bovins!$A$104,param_bovins!$F$81*Calculs_bovins!J111,0))))</f>
        <v>0</v>
      </c>
      <c r="K112" s="56">
        <f>IF(K103=param_bovins!$A$101,param_bovins!$F$78*Calculs_bovins!K111,IF(K103=param_bovins!$A$102,param_bovins!$F$79*Calculs_bovins!K111,IF(K103=param_bovins!$A$103,param_bovins!$F$80*Calculs_bovins!K111,IF(K103=param_bovins!$A$104,param_bovins!$F$81*Calculs_bovins!K111,0))))</f>
        <v>0</v>
      </c>
      <c r="L112" s="56">
        <f>IF(L103=param_bovins!$A$101,param_bovins!$F$78*Calculs_bovins!L111,IF(L103=param_bovins!$A$102,param_bovins!$F$79*Calculs_bovins!L111,IF(L103=param_bovins!$A$103,param_bovins!$F$80*Calculs_bovins!L111,IF(L103=param_bovins!$A$104,param_bovins!$F$81*Calculs_bovins!L111,0))))</f>
        <v>0</v>
      </c>
      <c r="M112" s="56">
        <f>IF(M103=param_bovins!$A$101,param_bovins!$F$78*Calculs_bovins!M111,IF(M103=param_bovins!$A$102,param_bovins!$F$79*Calculs_bovins!M111,IF(M103=param_bovins!$A$103,param_bovins!$F$80*Calculs_bovins!M111,IF(M103=param_bovins!$A$104,param_bovins!$F$81*Calculs_bovins!M111,0))))</f>
        <v>0</v>
      </c>
      <c r="N112" s="56">
        <f>IF(N103=param_bovins!$A$101,param_bovins!$F$78*Calculs_bovins!N111,IF(N103=param_bovins!$A$102,param_bovins!$F$79*Calculs_bovins!N111,IF(N103=param_bovins!$A$103,param_bovins!$F$80*Calculs_bovins!N111,IF(N103=param_bovins!$A$104,param_bovins!$F$81*Calculs_bovins!N111,0))))</f>
        <v>0</v>
      </c>
      <c r="O112" s="56">
        <f>IF(O103=param_bovins!$A$101,param_bovins!$F$78*Calculs_bovins!O111,IF(O103=param_bovins!$A$102,param_bovins!$F$79*Calculs_bovins!O111,IF(O103=param_bovins!$A$103,param_bovins!$F$80*Calculs_bovins!O111,IF(O103=param_bovins!$A$104,param_bovins!$F$81*Calculs_bovins!O111,0))))</f>
        <v>0</v>
      </c>
      <c r="P112" s="30" t="s">
        <v>305</v>
      </c>
    </row>
    <row r="113" spans="1:16" x14ac:dyDescent="0.25">
      <c r="A113" s="12"/>
      <c r="B113" s="12"/>
      <c r="C113" s="42"/>
      <c r="D113" s="58"/>
      <c r="E113" s="58"/>
      <c r="F113" s="58"/>
      <c r="G113" s="58"/>
      <c r="H113" s="58"/>
      <c r="I113" s="58"/>
      <c r="J113" s="58"/>
      <c r="K113" s="58"/>
      <c r="L113" s="58"/>
      <c r="M113" s="58"/>
      <c r="N113" s="58"/>
      <c r="O113" s="58"/>
      <c r="P113" s="30"/>
    </row>
    <row r="114" spans="1:16" x14ac:dyDescent="0.25">
      <c r="A114" t="s">
        <v>293</v>
      </c>
      <c r="B114" s="33"/>
      <c r="C114" t="s">
        <v>289</v>
      </c>
      <c r="D114" s="58">
        <f>'Feuille saisie commune'!$E$7</f>
        <v>0</v>
      </c>
      <c r="E114" s="58">
        <f>'Feuille saisie commune'!$E$7</f>
        <v>0</v>
      </c>
      <c r="F114" s="58">
        <f>'Feuille saisie commune'!$E$7</f>
        <v>0</v>
      </c>
      <c r="G114" s="58">
        <f>'Feuille saisie commune'!$E$7</f>
        <v>0</v>
      </c>
      <c r="H114" s="58">
        <f>'Feuille saisie commune'!$E$7</f>
        <v>0</v>
      </c>
      <c r="I114" s="58">
        <f>'Feuille saisie commune'!$E$7</f>
        <v>0</v>
      </c>
      <c r="J114" s="58">
        <f>'Feuille saisie commune'!$E$7</f>
        <v>0</v>
      </c>
      <c r="K114" s="58">
        <f>'Feuille saisie commune'!$E$7</f>
        <v>0</v>
      </c>
      <c r="L114" s="58">
        <f>'Feuille saisie commune'!$E$7</f>
        <v>0</v>
      </c>
      <c r="M114" s="58">
        <f>'Feuille saisie commune'!$E$7</f>
        <v>0</v>
      </c>
      <c r="N114" s="58">
        <f>'Feuille saisie commune'!$E$7</f>
        <v>0</v>
      </c>
      <c r="O114" s="58">
        <f>'Feuille saisie commune'!$E$7</f>
        <v>0</v>
      </c>
      <c r="P114" s="30"/>
    </row>
    <row r="115" spans="1:16" x14ac:dyDescent="0.25">
      <c r="A115" s="33" t="s">
        <v>204</v>
      </c>
      <c r="B115" t="s">
        <v>288</v>
      </c>
      <c r="C115" s="33" t="s">
        <v>205</v>
      </c>
      <c r="D115" s="58">
        <f>'Saisie 2_bovins'!G12/(365.25/12)</f>
        <v>0</v>
      </c>
      <c r="E115" s="58">
        <f>'Saisie 2_bovins'!H12/(365.25/12)</f>
        <v>0</v>
      </c>
      <c r="F115" s="58">
        <f>'Saisie 2_bovins'!I12/(365.25/12)</f>
        <v>0</v>
      </c>
      <c r="G115" s="58">
        <f>'Saisie 2_bovins'!J12/(365.25/12)</f>
        <v>0</v>
      </c>
      <c r="H115" s="58">
        <f>'Saisie 2_bovins'!K12/(365.25/12)</f>
        <v>0</v>
      </c>
      <c r="I115" s="58">
        <f>'Saisie 2_bovins'!L12/(365.25/12)</f>
        <v>0</v>
      </c>
      <c r="J115" s="58">
        <f>'Saisie 2_bovins'!M12/(365.25/12)</f>
        <v>0</v>
      </c>
      <c r="K115" s="58">
        <f>'Saisie 2_bovins'!N12/(365.25/12)</f>
        <v>0</v>
      </c>
      <c r="L115" s="58">
        <f>'Saisie 2_bovins'!O12/(365.25/12)</f>
        <v>0</v>
      </c>
      <c r="M115" s="58">
        <f>'Saisie 2_bovins'!P12/(365.25/12)</f>
        <v>0</v>
      </c>
      <c r="N115" s="58">
        <f>'Saisie 2_bovins'!Q12/(365.25/12)</f>
        <v>0</v>
      </c>
      <c r="O115" s="58">
        <f>'Saisie 2_bovins'!R12/(365.25/12)</f>
        <v>0</v>
      </c>
      <c r="P115" s="30"/>
    </row>
    <row r="116" spans="1:16" x14ac:dyDescent="0.25">
      <c r="A116" s="291" t="s">
        <v>1030</v>
      </c>
      <c r="B116" t="s">
        <v>323</v>
      </c>
      <c r="C116" t="s">
        <v>213</v>
      </c>
      <c r="D116" s="58">
        <f>D105*D115*D114</f>
        <v>0</v>
      </c>
      <c r="E116" s="58">
        <f t="shared" ref="E116:O116" si="45">E105*E115*E114</f>
        <v>0</v>
      </c>
      <c r="F116" s="58">
        <f t="shared" si="45"/>
        <v>0</v>
      </c>
      <c r="G116" s="58">
        <f t="shared" si="45"/>
        <v>0</v>
      </c>
      <c r="H116" s="58">
        <f t="shared" si="45"/>
        <v>0</v>
      </c>
      <c r="I116" s="58">
        <f t="shared" si="45"/>
        <v>0</v>
      </c>
      <c r="J116" s="58">
        <f t="shared" si="45"/>
        <v>0</v>
      </c>
      <c r="K116" s="58">
        <f t="shared" si="45"/>
        <v>0</v>
      </c>
      <c r="L116" s="58">
        <f t="shared" si="45"/>
        <v>0</v>
      </c>
      <c r="M116" s="58">
        <f t="shared" si="45"/>
        <v>0</v>
      </c>
      <c r="N116" s="58">
        <f t="shared" si="45"/>
        <v>0</v>
      </c>
      <c r="O116" s="58">
        <f t="shared" si="45"/>
        <v>0</v>
      </c>
      <c r="P116" s="30"/>
    </row>
    <row r="117" spans="1:16" x14ac:dyDescent="0.25">
      <c r="A117" s="291" t="s">
        <v>1031</v>
      </c>
      <c r="B117" t="s">
        <v>324</v>
      </c>
      <c r="C117" t="s">
        <v>214</v>
      </c>
      <c r="D117" s="58">
        <f>D106*D115*D114</f>
        <v>0</v>
      </c>
      <c r="E117" s="58">
        <f t="shared" ref="E117:O117" si="46">E106*E115*E114</f>
        <v>0</v>
      </c>
      <c r="F117" s="58">
        <f t="shared" si="46"/>
        <v>0</v>
      </c>
      <c r="G117" s="58">
        <f t="shared" si="46"/>
        <v>0</v>
      </c>
      <c r="H117" s="58">
        <f t="shared" si="46"/>
        <v>0</v>
      </c>
      <c r="I117" s="58">
        <f t="shared" si="46"/>
        <v>0</v>
      </c>
      <c r="J117" s="58">
        <f t="shared" si="46"/>
        <v>0</v>
      </c>
      <c r="K117" s="58">
        <f t="shared" si="46"/>
        <v>0</v>
      </c>
      <c r="L117" s="58">
        <f t="shared" si="46"/>
        <v>0</v>
      </c>
      <c r="M117" s="58">
        <f t="shared" si="46"/>
        <v>0</v>
      </c>
      <c r="N117" s="58">
        <f t="shared" si="46"/>
        <v>0</v>
      </c>
      <c r="O117" s="58">
        <f t="shared" si="46"/>
        <v>0</v>
      </c>
      <c r="P117" s="30"/>
    </row>
    <row r="118" spans="1:16" x14ac:dyDescent="0.25">
      <c r="A118" s="291" t="s">
        <v>1032</v>
      </c>
      <c r="B118" t="s">
        <v>325</v>
      </c>
      <c r="C118" t="s">
        <v>215</v>
      </c>
      <c r="D118" s="58">
        <f>D107*D115*D114</f>
        <v>0</v>
      </c>
      <c r="E118" s="58">
        <f t="shared" ref="E118:O118" si="47">E107*E115*E114</f>
        <v>0</v>
      </c>
      <c r="F118" s="58">
        <f t="shared" si="47"/>
        <v>0</v>
      </c>
      <c r="G118" s="58">
        <f t="shared" si="47"/>
        <v>0</v>
      </c>
      <c r="H118" s="58">
        <f t="shared" si="47"/>
        <v>0</v>
      </c>
      <c r="I118" s="58">
        <f t="shared" si="47"/>
        <v>0</v>
      </c>
      <c r="J118" s="58">
        <f t="shared" si="47"/>
        <v>0</v>
      </c>
      <c r="K118" s="58">
        <f t="shared" si="47"/>
        <v>0</v>
      </c>
      <c r="L118" s="58">
        <f t="shared" si="47"/>
        <v>0</v>
      </c>
      <c r="M118" s="58">
        <f t="shared" si="47"/>
        <v>0</v>
      </c>
      <c r="N118" s="58">
        <f t="shared" si="47"/>
        <v>0</v>
      </c>
      <c r="O118" s="58">
        <f t="shared" si="47"/>
        <v>0</v>
      </c>
      <c r="P118" s="30"/>
    </row>
    <row r="119" spans="1:16" x14ac:dyDescent="0.25">
      <c r="A119" s="12"/>
      <c r="B119" s="12"/>
      <c r="C119" s="42"/>
      <c r="D119" s="58"/>
      <c r="E119" s="58"/>
      <c r="F119" s="58"/>
      <c r="G119" s="58"/>
      <c r="H119" s="58"/>
      <c r="I119" s="58"/>
      <c r="J119" s="58"/>
      <c r="K119" s="58"/>
      <c r="L119" s="58"/>
      <c r="M119" s="58"/>
      <c r="N119" s="58"/>
      <c r="O119" s="58"/>
      <c r="P119" s="30"/>
    </row>
    <row r="120" spans="1:16" x14ac:dyDescent="0.25">
      <c r="A120" s="42" t="s">
        <v>265</v>
      </c>
      <c r="B120" s="42"/>
      <c r="C120" s="42" t="s">
        <v>326</v>
      </c>
      <c r="D120" s="43">
        <f>'Feuille saisie commune'!G7</f>
        <v>0</v>
      </c>
      <c r="E120" s="43"/>
      <c r="F120" s="43"/>
      <c r="G120" s="43"/>
      <c r="H120" s="43"/>
      <c r="I120" s="43"/>
      <c r="J120" s="43"/>
      <c r="K120" s="43"/>
      <c r="L120" s="43"/>
      <c r="M120" s="43"/>
      <c r="N120" s="43"/>
      <c r="O120" s="43"/>
      <c r="P120" s="30"/>
    </row>
    <row r="121" spans="1:16" s="65" customFormat="1" x14ac:dyDescent="0.25">
      <c r="A121" s="71" t="s">
        <v>262</v>
      </c>
      <c r="B121" s="33" t="s">
        <v>327</v>
      </c>
      <c r="C121" s="47" t="s">
        <v>263</v>
      </c>
      <c r="D121" s="68">
        <f>$D$120*D114*D115*365.25/12</f>
        <v>0</v>
      </c>
      <c r="E121" s="68">
        <f t="shared" ref="E121:O121" si="48">$D$120*E114*E115*365.25/12</f>
        <v>0</v>
      </c>
      <c r="F121" s="68">
        <f t="shared" si="48"/>
        <v>0</v>
      </c>
      <c r="G121" s="68">
        <f t="shared" si="48"/>
        <v>0</v>
      </c>
      <c r="H121" s="68">
        <f t="shared" si="48"/>
        <v>0</v>
      </c>
      <c r="I121" s="68">
        <f t="shared" si="48"/>
        <v>0</v>
      </c>
      <c r="J121" s="68">
        <f t="shared" si="48"/>
        <v>0</v>
      </c>
      <c r="K121" s="68">
        <f t="shared" si="48"/>
        <v>0</v>
      </c>
      <c r="L121" s="68">
        <f t="shared" si="48"/>
        <v>0</v>
      </c>
      <c r="M121" s="68">
        <f t="shared" si="48"/>
        <v>0</v>
      </c>
      <c r="N121" s="68">
        <f t="shared" si="48"/>
        <v>0</v>
      </c>
      <c r="O121" s="68">
        <f t="shared" si="48"/>
        <v>0</v>
      </c>
      <c r="P121" s="66"/>
    </row>
    <row r="122" spans="1:16" x14ac:dyDescent="0.25">
      <c r="A122" s="33" t="s">
        <v>267</v>
      </c>
      <c r="B122" t="s">
        <v>270</v>
      </c>
      <c r="C122" t="s">
        <v>246</v>
      </c>
      <c r="D122" s="40">
        <f>D121*param_bovins!$D$160*param_bovins!$A$160/1000</f>
        <v>0</v>
      </c>
      <c r="E122" s="40">
        <f>E121*param_bovins!$D$160*param_bovins!$A$160/1000</f>
        <v>0</v>
      </c>
      <c r="F122" s="40">
        <f>F121*param_bovins!$D$160*param_bovins!$A$160/1000</f>
        <v>0</v>
      </c>
      <c r="G122" s="40">
        <f>G121*param_bovins!$D$160*param_bovins!$A$160/1000</f>
        <v>0</v>
      </c>
      <c r="H122" s="40">
        <f>H121*param_bovins!$D$160*param_bovins!$A$160/1000</f>
        <v>0</v>
      </c>
      <c r="I122" s="40">
        <f>I121*param_bovins!$D$160*param_bovins!$A$160/1000</f>
        <v>0</v>
      </c>
      <c r="J122" s="40">
        <f>J121*param_bovins!$D$160*param_bovins!$A$160/1000</f>
        <v>0</v>
      </c>
      <c r="K122" s="40">
        <f>K121*param_bovins!$D$160*param_bovins!$A$160/1000</f>
        <v>0</v>
      </c>
      <c r="L122" s="40">
        <f>L121*param_bovins!$D$160*param_bovins!$A$160/1000</f>
        <v>0</v>
      </c>
      <c r="M122" s="40">
        <f>M121*param_bovins!$D$160*param_bovins!$A$160/1000</f>
        <v>0</v>
      </c>
      <c r="N122" s="40">
        <f>N121*param_bovins!$D$160*param_bovins!$A$160/1000</f>
        <v>0</v>
      </c>
      <c r="O122" s="40">
        <f>O121*param_bovins!$D$160*param_bovins!$A$160/1000</f>
        <v>0</v>
      </c>
      <c r="P122" s="30"/>
    </row>
    <row r="123" spans="1:16" x14ac:dyDescent="0.25">
      <c r="A123" s="33" t="s">
        <v>268</v>
      </c>
      <c r="B123" s="33"/>
      <c r="C123" t="s">
        <v>249</v>
      </c>
      <c r="D123" s="40">
        <f>D121*param_bovins!$D$160*param_bovins!$B$160/1000</f>
        <v>0</v>
      </c>
      <c r="E123" s="40">
        <f>E121*param_bovins!$D$160*param_bovins!$B$160/1000</f>
        <v>0</v>
      </c>
      <c r="F123" s="40">
        <f>F121*param_bovins!$D$160*param_bovins!$B$160/1000</f>
        <v>0</v>
      </c>
      <c r="G123" s="40">
        <f>G121*param_bovins!$D$160*param_bovins!$B$160/1000</f>
        <v>0</v>
      </c>
      <c r="H123" s="40">
        <f>H121*param_bovins!$D$160*param_bovins!$B$160/1000</f>
        <v>0</v>
      </c>
      <c r="I123" s="40">
        <f>I121*param_bovins!$D$160*param_bovins!$B$160/1000</f>
        <v>0</v>
      </c>
      <c r="J123" s="40">
        <f>J121*param_bovins!$D$160*param_bovins!$B$160/1000</f>
        <v>0</v>
      </c>
      <c r="K123" s="40">
        <f>K121*param_bovins!$D$160*param_bovins!$B$160/1000</f>
        <v>0</v>
      </c>
      <c r="L123" s="40">
        <f>L121*param_bovins!$D$160*param_bovins!$B$160/1000</f>
        <v>0</v>
      </c>
      <c r="M123" s="40">
        <f>M121*param_bovins!$D$160*param_bovins!$B$160/1000</f>
        <v>0</v>
      </c>
      <c r="N123" s="40">
        <f>N121*param_bovins!$D$160*param_bovins!$B$160/1000</f>
        <v>0</v>
      </c>
      <c r="O123" s="40">
        <f>O121*param_bovins!$D$160*param_bovins!$B$160/1000</f>
        <v>0</v>
      </c>
      <c r="P123" s="30"/>
    </row>
    <row r="124" spans="1:16" x14ac:dyDescent="0.25">
      <c r="A124" s="33" t="s">
        <v>269</v>
      </c>
      <c r="B124" s="33"/>
      <c r="C124" t="s">
        <v>271</v>
      </c>
      <c r="D124" s="40">
        <f>D121*param_bovins!$D$160*param_bovins!$C$160/1000</f>
        <v>0</v>
      </c>
      <c r="E124" s="40">
        <f>E121*param_bovins!$D$160*param_bovins!$C$160/1000</f>
        <v>0</v>
      </c>
      <c r="F124" s="40">
        <f>F121*param_bovins!$D$160*param_bovins!$C$160/1000</f>
        <v>0</v>
      </c>
      <c r="G124" s="40">
        <f>G121*param_bovins!$D$160*param_bovins!$C$160/1000</f>
        <v>0</v>
      </c>
      <c r="H124" s="40">
        <f>H121*param_bovins!$D$160*param_bovins!$C$160/1000</f>
        <v>0</v>
      </c>
      <c r="I124" s="40">
        <f>I121*param_bovins!$D$160*param_bovins!$C$160/1000</f>
        <v>0</v>
      </c>
      <c r="J124" s="40">
        <f>J121*param_bovins!$D$160*param_bovins!$C$160/1000</f>
        <v>0</v>
      </c>
      <c r="K124" s="40">
        <f>K121*param_bovins!$D$160*param_bovins!$C$160/1000</f>
        <v>0</v>
      </c>
      <c r="L124" s="40">
        <f>L121*param_bovins!$D$160*param_bovins!$C$160/1000</f>
        <v>0</v>
      </c>
      <c r="M124" s="40">
        <f>M121*param_bovins!$D$160*param_bovins!$C$160/1000</f>
        <v>0</v>
      </c>
      <c r="N124" s="40">
        <f>N121*param_bovins!$D$160*param_bovins!$C$160/1000</f>
        <v>0</v>
      </c>
      <c r="O124" s="40">
        <f>O121*param_bovins!$D$160*param_bovins!$C$160/1000</f>
        <v>0</v>
      </c>
      <c r="P124" s="30"/>
    </row>
    <row r="125" spans="1:16" x14ac:dyDescent="0.25">
      <c r="A125" s="33"/>
      <c r="B125" s="33"/>
      <c r="D125" s="40"/>
      <c r="E125" s="40"/>
      <c r="F125" s="40"/>
      <c r="G125" s="40"/>
      <c r="H125" s="40"/>
      <c r="I125" s="40"/>
      <c r="J125" s="40"/>
      <c r="K125" s="40"/>
      <c r="L125" s="40"/>
      <c r="M125" s="40"/>
      <c r="N125" s="40"/>
      <c r="O125" s="40"/>
      <c r="P125" s="30"/>
    </row>
    <row r="126" spans="1:16" x14ac:dyDescent="0.25">
      <c r="A126" s="9" t="s">
        <v>5</v>
      </c>
      <c r="B126" s="9"/>
      <c r="C126" s="9"/>
      <c r="D126" s="39" t="str">
        <f>'Feuille saisie commune'!F7</f>
        <v>Logette, mixte lisier/fumier</v>
      </c>
      <c r="E126" s="39"/>
      <c r="F126" s="28"/>
      <c r="G126" s="28"/>
      <c r="H126" s="28"/>
      <c r="I126" s="28"/>
      <c r="J126" s="28"/>
      <c r="K126" s="28"/>
      <c r="L126" s="28"/>
      <c r="M126" s="28"/>
      <c r="N126" s="28"/>
      <c r="O126" s="28"/>
      <c r="P126" s="30"/>
    </row>
    <row r="127" spans="1:16" x14ac:dyDescent="0.25">
      <c r="A127" s="9"/>
      <c r="B127" s="9"/>
      <c r="C127" s="9"/>
      <c r="D127" s="39"/>
      <c r="E127" s="39"/>
      <c r="F127" s="28"/>
      <c r="G127" s="28"/>
      <c r="H127" s="28"/>
      <c r="I127" s="28"/>
      <c r="J127" s="28"/>
      <c r="K127" s="28"/>
      <c r="L127" s="28"/>
      <c r="M127" s="28"/>
      <c r="N127" s="28"/>
      <c r="O127" s="28"/>
      <c r="P127" s="30"/>
    </row>
    <row r="128" spans="1:16" x14ac:dyDescent="0.25">
      <c r="A128" t="s">
        <v>242</v>
      </c>
      <c r="C128" t="s">
        <v>205</v>
      </c>
      <c r="D128" s="96">
        <f>IF(D126="Logette, lisier",param_bovins!B107,IF(D126="Etable entravée, lisier",param_bovins!B108,IF(D126="Litière accumulée, couloir lisier",param_bovins!B109,IF(D126="Logette, mixte lisier/fumier",param_bovins!B110,IF(D126="Etable entravée, fumier",param_bovins!B111,IF(D126="Pente paillée",param_bovins!B112,IF(D126="Logette, fumier",param_bovins!B113,IF(D126=param_bovins!A114,param_bovins!B114,IF(D126=param_bovins!A115,param_bovins!B115,#N/A)))))))))</f>
        <v>0.5</v>
      </c>
      <c r="E128" s="28"/>
      <c r="F128" s="28"/>
      <c r="G128" s="28"/>
      <c r="H128" s="28"/>
      <c r="I128" s="28"/>
      <c r="J128" s="28"/>
      <c r="K128" s="28"/>
      <c r="L128" s="28"/>
      <c r="M128" s="28"/>
      <c r="N128" s="28"/>
      <c r="O128" s="28"/>
      <c r="P128" s="30"/>
    </row>
    <row r="129" spans="1:16" x14ac:dyDescent="0.25">
      <c r="A129" t="s">
        <v>243</v>
      </c>
      <c r="C129" t="s">
        <v>205</v>
      </c>
      <c r="D129" s="96">
        <f>IF(D126="Logette, lisier",param_bovins!C107,IF(D126="Etable entravée, lisier",param_bovins!C108,IF(D126="Litière accumulée, couloir lisier",param_bovins!C109,IF(D126="Logette, mixte lisier/fumier",param_bovins!C110,IF(D126="Etable entravée, fumier",param_bovins!C111,IF(D126="Pente paillée",param_bovins!C112,IF(D126="Logette, fumier",param_bovins!C113,IF(D126=param_bovins!A114,param_bovins!C114,IF(D126=param_bovins!A115,param_bovins!C115,#N/A)))))))))</f>
        <v>0.5</v>
      </c>
      <c r="E129" s="28"/>
      <c r="F129" s="28"/>
      <c r="G129" s="28"/>
      <c r="H129" s="28"/>
      <c r="I129" s="28"/>
      <c r="J129" s="28"/>
      <c r="K129" s="28"/>
      <c r="L129" s="28"/>
      <c r="M129" s="28"/>
      <c r="N129" s="28"/>
      <c r="O129" s="28"/>
      <c r="P129" s="30"/>
    </row>
    <row r="130" spans="1:16" x14ac:dyDescent="0.25">
      <c r="A130" t="s">
        <v>244</v>
      </c>
      <c r="B130" s="33"/>
      <c r="C130" t="s">
        <v>205</v>
      </c>
      <c r="D130" s="96">
        <f>IF(D126="Logette, mixte lisier/fumier",param_bovins!D66,IF(D126="Etable entravée, fumier",param_bovins!D67,IF(D126="Pente paillée",param_bovins!D68,IF(D126="Logette, fumier",param_bovins!D69,IF(D126=param_bovins!A70,param_bovins!D70,0)))))</f>
        <v>0.23</v>
      </c>
      <c r="E130" s="28"/>
      <c r="F130" s="28"/>
      <c r="G130" s="28"/>
      <c r="H130" s="28"/>
      <c r="I130" s="28"/>
      <c r="J130" s="28"/>
      <c r="K130" s="28"/>
      <c r="L130" s="28"/>
      <c r="M130" s="28"/>
      <c r="N130" s="28"/>
      <c r="O130" s="28"/>
      <c r="P130" s="30"/>
    </row>
    <row r="131" spans="1:16" x14ac:dyDescent="0.25">
      <c r="A131" s="9" t="s">
        <v>294</v>
      </c>
      <c r="B131" s="9"/>
      <c r="C131" s="9" t="s">
        <v>50</v>
      </c>
      <c r="D131" s="43">
        <f>IF(D126=param_bovins!A109,param_bovins!F109,IF(D126=param_bovins!A110,param_bovins!F110,IF(D126=param_bovins!A111,param_bovins!F111,IF(D126=param_bovins!A112,param_bovins!F112,IF(D126=param_bovins!A113,param_bovins!F113,IF(D126=param_bovins!A114,param_bovins!F114,IF(D126=param_bovins!A115,param_bovins!F115,0)))))))</f>
        <v>0.9</v>
      </c>
      <c r="E131" s="28"/>
      <c r="F131" s="28"/>
      <c r="G131" s="28"/>
      <c r="H131" s="28"/>
      <c r="I131" s="28"/>
      <c r="J131" s="28"/>
      <c r="K131" s="28"/>
      <c r="L131" s="28"/>
      <c r="M131" s="28"/>
      <c r="N131" s="28"/>
      <c r="O131" s="28"/>
      <c r="P131" s="30"/>
    </row>
    <row r="132" spans="1:16" x14ac:dyDescent="0.25">
      <c r="A132" t="s">
        <v>152</v>
      </c>
      <c r="B132" s="33"/>
      <c r="C132" t="s">
        <v>732</v>
      </c>
      <c r="D132" s="94">
        <f>IF(D126="Logette, lisier",param_bovins!G107,IF(D126="Etable entravée, lisier",param_bovins!G108,IF(D126="Litière accumulée, couloir lisier",param_bovins!G109,IF(D126="Logette, mixte lisier/fumier",param_bovins!G110,IF(D126="Etable entravée, fumier",param_bovins!G111,IF(D126="Pente paillée",param_bovins!G112,IF(D126="Logette, fumier",param_bovins!G113,IF(D126=param_bovins!A114,param_bovins!G114,IF(D126=param_bovins!A115,param_bovins!G115,#N/A)))))))))</f>
        <v>16.75</v>
      </c>
      <c r="E132" s="28"/>
      <c r="F132" s="28"/>
      <c r="G132" s="28"/>
      <c r="H132" s="28"/>
      <c r="I132" s="28"/>
      <c r="J132" s="28"/>
      <c r="K132" s="28"/>
      <c r="L132" s="28"/>
      <c r="M132" s="28"/>
      <c r="N132" s="28"/>
      <c r="O132" s="28"/>
      <c r="P132" s="30"/>
    </row>
    <row r="133" spans="1:16" x14ac:dyDescent="0.25">
      <c r="A133" s="33" t="s">
        <v>734</v>
      </c>
      <c r="B133" s="33"/>
      <c r="C133" t="s">
        <v>205</v>
      </c>
      <c r="D133" s="81">
        <f>IF(D126="Logette, mixte lisier/fumier",IF('Saisie 2_bovins'!C44="couverte", param_bovins!H66, param_bovins!I66), IF(D126="Etable entravée, fumier",IF('Saisie 2_bovins'!C44="couverte",param_bovins!H67,param_bovins!I67),IF(D126="Pente paillée",IF('Saisie 2_bovins'!C44="couverte",param_bovins!H68,param_bovins!I68),IF(D126="Logette, fumier",IF('Saisie 2_bovins'!C44="couverte",param_bovins!H69, param_bovins!I69),IF(D126=param_bovins!A70,IF('Saisie 2_bovins'!C44="couverte",param_bovins!H70,param_bovins!I70),IF(D126=param_bovins!A71,IF('Saisie 2_bovins'!C44="couverte",param_bovins!H71,param_bovins!I71),IF(D126=param_bovins!A65,IF('Saisie 2_bovins'!C44="couverte",param_bovins!H65,param_bovins!I65),0)))))))</f>
        <v>0.125</v>
      </c>
      <c r="E133" s="28"/>
      <c r="F133" s="28"/>
      <c r="G133" s="28"/>
      <c r="H133" s="28"/>
      <c r="I133" s="28"/>
      <c r="J133" s="28"/>
      <c r="K133" s="28"/>
      <c r="L133" s="28"/>
      <c r="M133" s="28"/>
      <c r="N133" s="28"/>
      <c r="O133" s="28"/>
      <c r="P133" s="30"/>
    </row>
    <row r="134" spans="1:16" x14ac:dyDescent="0.25">
      <c r="A134" s="33" t="s">
        <v>735</v>
      </c>
      <c r="B134" s="33"/>
      <c r="C134" t="s">
        <v>205</v>
      </c>
      <c r="D134" s="236">
        <f>IF(D126="Logette, mixte lisier/fumier",IF('Saisie 2_bovins'!C44="couverte", param_bovins!J66, param_bovins!K66), IF(D126="Etable entravée, fumier",IF('Saisie 2_bovins'!C44="couverte",param_bovins!J67,param_bovins!K67),IF(D126="Pente paillée",IF('Saisie 2_bovins'!C44="couverte",param_bovins!J68,param_bovins!K68),IF(D126="Logette, fumier",IF('Saisie 2_bovins'!C44="couverte",param_bovins!J69, param_bovins!K69),IF(D126=param_bovins!A70,IF('Saisie 2_bovins'!C44="couverte",param_bovins!J70,param_bovins!K70),IF(Calculs_bovins!D126=param_bovins!A71,IF('Saisie 2_bovins'!C44="couverte",param_bovins!J71,param_bovins!K71),IF(Calculs_bovins!D126=param_bovins!A65,IF('Saisie 2_bovins'!C44="couverte",param_bovins!J65,param_bovins!K65),0)))))))</f>
        <v>0.1125</v>
      </c>
      <c r="E134" s="28"/>
      <c r="F134" s="28"/>
      <c r="G134" s="28"/>
      <c r="H134" s="28"/>
      <c r="I134" s="28"/>
      <c r="J134" s="28"/>
      <c r="K134" s="28"/>
      <c r="L134" s="28"/>
      <c r="M134" s="28"/>
      <c r="N134" s="28"/>
      <c r="O134" s="28"/>
      <c r="P134" s="30"/>
    </row>
    <row r="135" spans="1:16" x14ac:dyDescent="0.25">
      <c r="A135" s="33" t="s">
        <v>736</v>
      </c>
      <c r="B135" s="33"/>
      <c r="C135" t="s">
        <v>205</v>
      </c>
      <c r="D135" s="236">
        <f>IF(D126="Logette, mixte lisier/fumier",IF('Saisie 2_bovins'!C44="couverte", param_bovins!L66, param_bovins!M66), IF(D126="Etable entravée, fumier",IF('Saisie 2_bovins'!C44="couverte",param_bovins!L67,param_bovins!M67),IF(D126="Pente paillée",IF('Saisie 2_bovins'!C44="couverte",param_bovins!L68,param_bovins!M68),IF(D126="Logette, fumier",IF('Saisie 2_bovins'!C44="couverte",param_bovins!L69, param_bovins!M69),IF(D126=param_bovins!A70,IF('Saisie 2_bovins'!C44="couverte",param_bovins!L70,param_bovins!M70),IF(Calculs_bovins!D126=param_bovins!A71,IF('Saisie 2_bovins'!C44="couverte",param_bovins!L71,param_bovins!M71),IF(Calculs_bovins!D126=param_bovins!A65,IF('Saisie 2_bovins'!C44="couverte",param_bovins!L65,param_bovins!M65),0)))))))</f>
        <v>0.13750000000000001</v>
      </c>
      <c r="E135" s="28"/>
      <c r="F135" s="28"/>
      <c r="G135" s="28"/>
      <c r="H135" s="28"/>
      <c r="I135" s="28"/>
      <c r="J135" s="28"/>
      <c r="K135" s="28"/>
      <c r="L135" s="28"/>
      <c r="M135" s="28"/>
      <c r="N135" s="28"/>
      <c r="O135" s="28"/>
      <c r="P135" s="30"/>
    </row>
    <row r="136" spans="1:16" x14ac:dyDescent="0.25">
      <c r="A136" t="s">
        <v>782</v>
      </c>
      <c r="B136" s="33"/>
      <c r="C136" t="s">
        <v>783</v>
      </c>
      <c r="D136" s="94">
        <f>IF(D126=param_bovins!A109,param_bovins!N109,IF(D126=param_bovins!A110,param_bovins!N110,IF(D126=param_bovins!A111,param_bovins!N111,IF(D126=param_bovins!A112,param_bovins!N112,IF(D126=param_bovins!A113,param_bovins!N113,IF(D126=param_bovins!A114,param_bovins!N114,IF(D126=param_bovins!A115,param_bovins!N115,0)))))))</f>
        <v>19</v>
      </c>
      <c r="E136" s="28"/>
      <c r="F136" s="28"/>
      <c r="G136" s="28"/>
      <c r="H136" s="28"/>
      <c r="I136" s="28"/>
      <c r="J136" s="28"/>
      <c r="K136" s="28"/>
      <c r="L136" s="28"/>
      <c r="M136" s="28"/>
      <c r="N136" s="28"/>
      <c r="O136" s="28"/>
      <c r="P136" s="30"/>
    </row>
    <row r="137" spans="1:16" x14ac:dyDescent="0.25">
      <c r="B137" s="33"/>
      <c r="C137" s="33"/>
      <c r="D137" s="28"/>
      <c r="E137" s="28"/>
      <c r="F137" s="28"/>
      <c r="G137" s="28"/>
      <c r="H137" s="28"/>
      <c r="I137" s="28"/>
      <c r="J137" s="28"/>
      <c r="K137" s="28"/>
      <c r="L137" s="28"/>
      <c r="M137" s="28"/>
      <c r="N137" s="28"/>
      <c r="O137" s="28"/>
      <c r="P137" s="30"/>
    </row>
    <row r="138" spans="1:16" x14ac:dyDescent="0.25">
      <c r="A138" t="s">
        <v>220</v>
      </c>
      <c r="B138" s="33" t="s">
        <v>227</v>
      </c>
      <c r="C138" t="s">
        <v>292</v>
      </c>
      <c r="D138" s="28">
        <f>D128*param_bovins!D6</f>
        <v>7.8</v>
      </c>
      <c r="E138" s="28"/>
      <c r="F138" s="28"/>
      <c r="G138" s="28"/>
      <c r="H138" s="28"/>
      <c r="I138" s="28"/>
      <c r="J138" s="28"/>
      <c r="K138" s="28"/>
      <c r="L138" s="28"/>
      <c r="M138" s="28"/>
      <c r="N138" s="28"/>
      <c r="O138" s="28"/>
      <c r="P138" s="30"/>
    </row>
    <row r="139" spans="1:16" x14ac:dyDescent="0.25">
      <c r="A139" t="s">
        <v>221</v>
      </c>
      <c r="B139" t="s">
        <v>226</v>
      </c>
      <c r="C139" t="s">
        <v>292</v>
      </c>
      <c r="D139" s="28">
        <f>IF(D131&lt;=0,0,(1-D128)*param_bovins!B6*D132/D131)</f>
        <v>7.9097222222222214</v>
      </c>
      <c r="E139" s="28"/>
      <c r="F139" s="28"/>
      <c r="G139" s="39">
        <f>D139*D131</f>
        <v>7.1187499999999995</v>
      </c>
      <c r="H139" s="39" t="s">
        <v>303</v>
      </c>
      <c r="I139" s="28"/>
      <c r="J139" s="28"/>
      <c r="K139" s="28"/>
      <c r="L139" s="28"/>
      <c r="M139" s="28"/>
      <c r="N139" s="28"/>
      <c r="O139" s="28"/>
      <c r="P139" s="30"/>
    </row>
    <row r="140" spans="1:16" x14ac:dyDescent="0.25">
      <c r="A140" t="s">
        <v>222</v>
      </c>
      <c r="B140" t="s">
        <v>228</v>
      </c>
      <c r="C140" t="s">
        <v>292</v>
      </c>
      <c r="D140" s="28">
        <f>D139*D130</f>
        <v>1.8192361111111111</v>
      </c>
      <c r="E140" s="28"/>
      <c r="F140" s="28"/>
      <c r="G140" s="28"/>
      <c r="H140" s="28"/>
      <c r="I140" s="28"/>
      <c r="J140" s="28"/>
      <c r="K140" s="28"/>
      <c r="L140" s="28"/>
      <c r="M140" s="28"/>
      <c r="N140" s="28"/>
      <c r="O140" s="28"/>
      <c r="P140" s="30"/>
    </row>
    <row r="141" spans="1:16" x14ac:dyDescent="0.25">
      <c r="D141" s="28"/>
      <c r="E141" s="28"/>
      <c r="F141" s="28"/>
      <c r="G141" s="28"/>
      <c r="H141" s="28"/>
      <c r="I141" s="28"/>
      <c r="J141" s="28"/>
      <c r="K141" s="28"/>
      <c r="L141" s="28"/>
      <c r="M141" s="28"/>
      <c r="N141" s="28"/>
      <c r="O141" s="28"/>
      <c r="P141" s="30"/>
    </row>
    <row r="142" spans="1:16" x14ac:dyDescent="0.25">
      <c r="A142" t="s">
        <v>297</v>
      </c>
      <c r="C142" t="s">
        <v>205</v>
      </c>
      <c r="D142" s="60">
        <f>IF(AND('Saisie 2_bovins'!D13&gt;=650,'Saisie 2_bovins'!D12=param_bovins!B89),param_bovins!C89,IF(AND('Saisie 2_bovins'!D13&gt;=650, 'Saisie 2_bovins'!D12=param_bovins!B90),param_bovins!C90,Calculs_bovins!E142))</f>
        <v>0</v>
      </c>
      <c r="E142" s="61">
        <f>IF(AND('Saisie 2_bovins'!D13&lt;650,'Saisie 2_bovins'!D12=param_bovins!B91),param_bovins!C91,IF(AND('Saisie 2_bovins'!D13&lt;650,'Saisie 2_bovins'!D12=param_bovins!B92),param_bovins!C92,0))</f>
        <v>0</v>
      </c>
      <c r="F142" s="60"/>
      <c r="G142" s="60"/>
      <c r="H142" s="60"/>
      <c r="I142" s="60"/>
      <c r="J142" s="60"/>
      <c r="K142" s="60"/>
      <c r="L142" s="60"/>
      <c r="M142" s="60"/>
      <c r="N142" s="60"/>
      <c r="O142" s="60"/>
      <c r="P142" s="30"/>
    </row>
    <row r="143" spans="1:16" x14ac:dyDescent="0.25">
      <c r="A143" t="s">
        <v>298</v>
      </c>
      <c r="C143" t="s">
        <v>205</v>
      </c>
      <c r="D143" s="60">
        <f>IF('Saisie 2_bovins'!G13="Foin",param_bovins!$B$97,1)</f>
        <v>1</v>
      </c>
      <c r="E143" s="60">
        <f>IF('Saisie 2_bovins'!H13="Foin",param_bovins!$B$97,1)</f>
        <v>1</v>
      </c>
      <c r="F143" s="60">
        <f>IF('Saisie 2_bovins'!I13="Foin",param_bovins!$B$97,1)</f>
        <v>1</v>
      </c>
      <c r="G143" s="60">
        <f>IF('Saisie 2_bovins'!J13="Foin",param_bovins!$B$97,1)</f>
        <v>1</v>
      </c>
      <c r="H143" s="60">
        <f>IF('Saisie 2_bovins'!K13="Foin",param_bovins!$B$97,1)</f>
        <v>1</v>
      </c>
      <c r="I143" s="60">
        <f>IF('Saisie 2_bovins'!L13="Foin",param_bovins!$B$97,1)</f>
        <v>1</v>
      </c>
      <c r="J143" s="60">
        <f>IF('Saisie 2_bovins'!M13="Foin",param_bovins!$B$97,1)</f>
        <v>1</v>
      </c>
      <c r="K143" s="60">
        <f>IF('Saisie 2_bovins'!N13="Foin",param_bovins!$B$97,1)</f>
        <v>1</v>
      </c>
      <c r="L143" s="60">
        <f>IF('Saisie 2_bovins'!O13="Foin",param_bovins!$B$97,1)</f>
        <v>1</v>
      </c>
      <c r="M143" s="60">
        <f>IF('Saisie 2_bovins'!P13="Foin",param_bovins!$B$97,1)</f>
        <v>1</v>
      </c>
      <c r="N143" s="60">
        <f>IF('Saisie 2_bovins'!Q13="Foin",param_bovins!$B$97,1)</f>
        <v>1</v>
      </c>
      <c r="O143" s="60">
        <f>IF('Saisie 2_bovins'!R13="Foin",param_bovins!$B$97,1)</f>
        <v>1</v>
      </c>
      <c r="P143" s="30" t="s">
        <v>716</v>
      </c>
    </row>
    <row r="144" spans="1:16" x14ac:dyDescent="0.25">
      <c r="A144" t="s">
        <v>296</v>
      </c>
      <c r="B144" t="s">
        <v>299</v>
      </c>
      <c r="D144" s="60">
        <f>D143+$D$142-1</f>
        <v>0</v>
      </c>
      <c r="E144" s="60">
        <f t="shared" ref="E144:O144" si="49">E143+$D$142-1</f>
        <v>0</v>
      </c>
      <c r="F144" s="60">
        <f>F143+$D$142-1</f>
        <v>0</v>
      </c>
      <c r="G144" s="60">
        <f t="shared" si="49"/>
        <v>0</v>
      </c>
      <c r="H144" s="60">
        <f t="shared" si="49"/>
        <v>0</v>
      </c>
      <c r="I144" s="60">
        <f t="shared" si="49"/>
        <v>0</v>
      </c>
      <c r="J144" s="60">
        <f t="shared" si="49"/>
        <v>0</v>
      </c>
      <c r="K144" s="60">
        <f t="shared" si="49"/>
        <v>0</v>
      </c>
      <c r="L144" s="60">
        <f t="shared" si="49"/>
        <v>0</v>
      </c>
      <c r="M144" s="60">
        <f t="shared" si="49"/>
        <v>0</v>
      </c>
      <c r="N144" s="60">
        <f t="shared" si="49"/>
        <v>0</v>
      </c>
      <c r="O144" s="60">
        <f t="shared" si="49"/>
        <v>0</v>
      </c>
      <c r="P144" s="30"/>
    </row>
    <row r="145" spans="1:16" x14ac:dyDescent="0.25">
      <c r="D145" s="28"/>
      <c r="E145" s="28"/>
      <c r="F145" s="28"/>
      <c r="G145" s="28"/>
      <c r="H145" s="28"/>
      <c r="I145" s="28"/>
      <c r="J145" s="28"/>
      <c r="K145" s="28"/>
      <c r="L145" s="28"/>
      <c r="M145" s="28"/>
      <c r="N145" s="28"/>
      <c r="O145" s="28"/>
      <c r="P145" s="30"/>
    </row>
    <row r="146" spans="1:16" x14ac:dyDescent="0.25">
      <c r="A146" t="s">
        <v>210</v>
      </c>
      <c r="B146" t="s">
        <v>302</v>
      </c>
      <c r="C146" t="s">
        <v>301</v>
      </c>
      <c r="D146" s="29">
        <f>$D138*D144/12</f>
        <v>0</v>
      </c>
      <c r="E146" s="29">
        <f t="shared" ref="E146:O146" si="50">$D138*E144/12</f>
        <v>0</v>
      </c>
      <c r="F146" s="29">
        <f t="shared" si="50"/>
        <v>0</v>
      </c>
      <c r="G146" s="29">
        <f t="shared" si="50"/>
        <v>0</v>
      </c>
      <c r="H146" s="29">
        <f t="shared" si="50"/>
        <v>0</v>
      </c>
      <c r="I146" s="29">
        <f t="shared" si="50"/>
        <v>0</v>
      </c>
      <c r="J146" s="29">
        <f t="shared" si="50"/>
        <v>0</v>
      </c>
      <c r="K146" s="29">
        <f t="shared" si="50"/>
        <v>0</v>
      </c>
      <c r="L146" s="29">
        <f t="shared" si="50"/>
        <v>0</v>
      </c>
      <c r="M146" s="29">
        <f t="shared" si="50"/>
        <v>0</v>
      </c>
      <c r="N146" s="29">
        <f t="shared" si="50"/>
        <v>0</v>
      </c>
      <c r="O146" s="29">
        <f t="shared" si="50"/>
        <v>0</v>
      </c>
      <c r="P146" s="30"/>
    </row>
    <row r="147" spans="1:16" s="65" customFormat="1" x14ac:dyDescent="0.25">
      <c r="A147" s="33" t="s">
        <v>211</v>
      </c>
      <c r="B147" s="33" t="s">
        <v>302</v>
      </c>
      <c r="C147" s="33" t="s">
        <v>301</v>
      </c>
      <c r="D147" s="64">
        <f>$D139*D144/12</f>
        <v>0</v>
      </c>
      <c r="E147" s="64">
        <f t="shared" ref="E147:O147" si="51">$D139*E144/12</f>
        <v>0</v>
      </c>
      <c r="F147" s="64">
        <f t="shared" si="51"/>
        <v>0</v>
      </c>
      <c r="G147" s="64">
        <f t="shared" si="51"/>
        <v>0</v>
      </c>
      <c r="H147" s="64">
        <f t="shared" si="51"/>
        <v>0</v>
      </c>
      <c r="I147" s="64">
        <f t="shared" si="51"/>
        <v>0</v>
      </c>
      <c r="J147" s="64">
        <f t="shared" si="51"/>
        <v>0</v>
      </c>
      <c r="K147" s="64">
        <f t="shared" si="51"/>
        <v>0</v>
      </c>
      <c r="L147" s="64">
        <f t="shared" si="51"/>
        <v>0</v>
      </c>
      <c r="M147" s="64">
        <f t="shared" si="51"/>
        <v>0</v>
      </c>
      <c r="N147" s="64">
        <f t="shared" si="51"/>
        <v>0</v>
      </c>
      <c r="O147" s="64">
        <f t="shared" si="51"/>
        <v>0</v>
      </c>
      <c r="P147" s="66"/>
    </row>
    <row r="148" spans="1:16" s="65" customFormat="1" x14ac:dyDescent="0.25">
      <c r="A148" s="33" t="s">
        <v>212</v>
      </c>
      <c r="B148" s="33" t="s">
        <v>356</v>
      </c>
      <c r="C148" s="33" t="s">
        <v>301</v>
      </c>
      <c r="D148" s="81">
        <f>$D$140/12*D144</f>
        <v>0</v>
      </c>
      <c r="E148" s="81">
        <f t="shared" ref="E148:O148" si="52">$D$140/12*E144</f>
        <v>0</v>
      </c>
      <c r="F148" s="81">
        <f t="shared" si="52"/>
        <v>0</v>
      </c>
      <c r="G148" s="81">
        <f t="shared" si="52"/>
        <v>0</v>
      </c>
      <c r="H148" s="81">
        <f t="shared" si="52"/>
        <v>0</v>
      </c>
      <c r="I148" s="81">
        <f t="shared" si="52"/>
        <v>0</v>
      </c>
      <c r="J148" s="81">
        <f t="shared" si="52"/>
        <v>0</v>
      </c>
      <c r="K148" s="81">
        <f t="shared" si="52"/>
        <v>0</v>
      </c>
      <c r="L148" s="81">
        <f t="shared" si="52"/>
        <v>0</v>
      </c>
      <c r="M148" s="81">
        <f t="shared" si="52"/>
        <v>0</v>
      </c>
      <c r="N148" s="81">
        <f t="shared" si="52"/>
        <v>0</v>
      </c>
      <c r="O148" s="81">
        <f t="shared" si="52"/>
        <v>0</v>
      </c>
      <c r="P148" s="66"/>
    </row>
    <row r="149" spans="1:16" s="9" customFormat="1" x14ac:dyDescent="0.25">
      <c r="A149" s="9" t="s">
        <v>152</v>
      </c>
      <c r="C149" s="9" t="s">
        <v>304</v>
      </c>
      <c r="D149" s="61">
        <f>D147*$D131</f>
        <v>0</v>
      </c>
      <c r="E149" s="61">
        <f t="shared" ref="E149:O149" si="53">E147*$D131</f>
        <v>0</v>
      </c>
      <c r="F149" s="61">
        <f t="shared" si="53"/>
        <v>0</v>
      </c>
      <c r="G149" s="61">
        <f t="shared" si="53"/>
        <v>0</v>
      </c>
      <c r="H149" s="61">
        <f t="shared" si="53"/>
        <v>0</v>
      </c>
      <c r="I149" s="61">
        <f t="shared" si="53"/>
        <v>0</v>
      </c>
      <c r="J149" s="61">
        <f t="shared" si="53"/>
        <v>0</v>
      </c>
      <c r="K149" s="61">
        <f t="shared" si="53"/>
        <v>0</v>
      </c>
      <c r="L149" s="61">
        <f t="shared" si="53"/>
        <v>0</v>
      </c>
      <c r="M149" s="61">
        <f t="shared" si="53"/>
        <v>0</v>
      </c>
      <c r="N149" s="61">
        <f t="shared" si="53"/>
        <v>0</v>
      </c>
      <c r="O149" s="61">
        <f t="shared" si="53"/>
        <v>0</v>
      </c>
      <c r="P149" s="62"/>
    </row>
    <row r="150" spans="1:16" x14ac:dyDescent="0.25">
      <c r="D150" s="28"/>
      <c r="E150" s="28"/>
      <c r="F150" s="28"/>
      <c r="G150" s="28"/>
      <c r="H150" s="28"/>
      <c r="I150" s="28"/>
      <c r="J150" s="28"/>
      <c r="K150" s="28"/>
      <c r="L150" s="28"/>
      <c r="M150" s="28"/>
      <c r="N150" s="28"/>
      <c r="O150" s="28"/>
      <c r="P150" s="30"/>
    </row>
    <row r="151" spans="1:16" x14ac:dyDescent="0.25">
      <c r="A151" t="s">
        <v>210</v>
      </c>
      <c r="B151" t="s">
        <v>310</v>
      </c>
      <c r="C151" t="s">
        <v>229</v>
      </c>
      <c r="D151" s="60">
        <f>D146*D114*D115</f>
        <v>0</v>
      </c>
      <c r="E151" s="60">
        <f t="shared" ref="E151:O151" si="54">E146*E114*E115</f>
        <v>0</v>
      </c>
      <c r="F151" s="60">
        <f t="shared" si="54"/>
        <v>0</v>
      </c>
      <c r="G151" s="60">
        <f t="shared" si="54"/>
        <v>0</v>
      </c>
      <c r="H151" s="60">
        <f t="shared" si="54"/>
        <v>0</v>
      </c>
      <c r="I151" s="60">
        <f t="shared" si="54"/>
        <v>0</v>
      </c>
      <c r="J151" s="60">
        <f t="shared" si="54"/>
        <v>0</v>
      </c>
      <c r="K151" s="60">
        <f t="shared" si="54"/>
        <v>0</v>
      </c>
      <c r="L151" s="60">
        <f t="shared" si="54"/>
        <v>0</v>
      </c>
      <c r="M151" s="60">
        <f t="shared" si="54"/>
        <v>0</v>
      </c>
      <c r="N151" s="60">
        <f t="shared" si="54"/>
        <v>0</v>
      </c>
      <c r="O151" s="60">
        <f t="shared" si="54"/>
        <v>0</v>
      </c>
      <c r="P151" s="30"/>
    </row>
    <row r="152" spans="1:16" x14ac:dyDescent="0.25">
      <c r="A152" t="s">
        <v>211</v>
      </c>
      <c r="B152" t="s">
        <v>310</v>
      </c>
      <c r="C152" t="s">
        <v>229</v>
      </c>
      <c r="D152" s="60">
        <f>D147*D114*D115</f>
        <v>0</v>
      </c>
      <c r="E152" s="60">
        <f t="shared" ref="E152:O152" si="55">E147*E114*E115</f>
        <v>0</v>
      </c>
      <c r="F152" s="60">
        <f t="shared" si="55"/>
        <v>0</v>
      </c>
      <c r="G152" s="60">
        <f t="shared" si="55"/>
        <v>0</v>
      </c>
      <c r="H152" s="60">
        <f t="shared" si="55"/>
        <v>0</v>
      </c>
      <c r="I152" s="60">
        <f t="shared" si="55"/>
        <v>0</v>
      </c>
      <c r="J152" s="60">
        <f t="shared" si="55"/>
        <v>0</v>
      </c>
      <c r="K152" s="60">
        <f t="shared" si="55"/>
        <v>0</v>
      </c>
      <c r="L152" s="60">
        <f t="shared" si="55"/>
        <v>0</v>
      </c>
      <c r="M152" s="60">
        <f t="shared" si="55"/>
        <v>0</v>
      </c>
      <c r="N152" s="60">
        <f t="shared" si="55"/>
        <v>0</v>
      </c>
      <c r="O152" s="60">
        <f t="shared" si="55"/>
        <v>0</v>
      </c>
      <c r="P152" s="30"/>
    </row>
    <row r="153" spans="1:16" x14ac:dyDescent="0.25">
      <c r="A153" t="s">
        <v>212</v>
      </c>
      <c r="B153" t="s">
        <v>310</v>
      </c>
      <c r="C153" t="s">
        <v>229</v>
      </c>
      <c r="D153" s="60">
        <f>D148*D114*D115</f>
        <v>0</v>
      </c>
      <c r="E153" s="60">
        <f t="shared" ref="E153:O153" si="56">E148*E114*E115</f>
        <v>0</v>
      </c>
      <c r="F153" s="60">
        <f t="shared" si="56"/>
        <v>0</v>
      </c>
      <c r="G153" s="60">
        <f t="shared" si="56"/>
        <v>0</v>
      </c>
      <c r="H153" s="60">
        <f t="shared" si="56"/>
        <v>0</v>
      </c>
      <c r="I153" s="60">
        <f t="shared" si="56"/>
        <v>0</v>
      </c>
      <c r="J153" s="60">
        <f t="shared" si="56"/>
        <v>0</v>
      </c>
      <c r="K153" s="60">
        <f t="shared" si="56"/>
        <v>0</v>
      </c>
      <c r="L153" s="60">
        <f t="shared" si="56"/>
        <v>0</v>
      </c>
      <c r="M153" s="60">
        <f t="shared" si="56"/>
        <v>0</v>
      </c>
      <c r="N153" s="60">
        <f t="shared" si="56"/>
        <v>0</v>
      </c>
      <c r="O153" s="60">
        <f t="shared" si="56"/>
        <v>0</v>
      </c>
      <c r="P153" s="30"/>
    </row>
    <row r="154" spans="1:16" x14ac:dyDescent="0.25">
      <c r="D154" s="28"/>
      <c r="E154" s="28"/>
      <c r="F154" s="28"/>
      <c r="G154" s="28"/>
      <c r="H154" s="28"/>
      <c r="I154" s="28"/>
      <c r="J154" s="28"/>
      <c r="K154" s="28"/>
      <c r="L154" s="28"/>
      <c r="M154" s="28"/>
      <c r="N154" s="28"/>
      <c r="O154" s="28"/>
      <c r="P154" s="30"/>
    </row>
    <row r="155" spans="1:16" x14ac:dyDescent="0.25">
      <c r="A155" s="44" t="s">
        <v>237</v>
      </c>
      <c r="B155" s="44" t="s">
        <v>309</v>
      </c>
      <c r="C155" s="44" t="s">
        <v>239</v>
      </c>
      <c r="D155" s="63">
        <f>D149*D115*D114</f>
        <v>0</v>
      </c>
      <c r="E155" s="63">
        <f t="shared" ref="E155:O155" si="57">E149*E115*E114</f>
        <v>0</v>
      </c>
      <c r="F155" s="63">
        <f t="shared" si="57"/>
        <v>0</v>
      </c>
      <c r="G155" s="63">
        <f t="shared" si="57"/>
        <v>0</v>
      </c>
      <c r="H155" s="63">
        <f t="shared" si="57"/>
        <v>0</v>
      </c>
      <c r="I155" s="63">
        <f t="shared" si="57"/>
        <v>0</v>
      </c>
      <c r="J155" s="63">
        <f t="shared" si="57"/>
        <v>0</v>
      </c>
      <c r="K155" s="63">
        <f t="shared" si="57"/>
        <v>0</v>
      </c>
      <c r="L155" s="63">
        <f t="shared" si="57"/>
        <v>0</v>
      </c>
      <c r="M155" s="63">
        <f t="shared" si="57"/>
        <v>0</v>
      </c>
      <c r="N155" s="63">
        <f t="shared" si="57"/>
        <v>0</v>
      </c>
      <c r="O155" s="63">
        <f t="shared" si="57"/>
        <v>0</v>
      </c>
      <c r="P155" s="30"/>
    </row>
    <row r="156" spans="1:16" x14ac:dyDescent="0.25">
      <c r="A156" s="44" t="s">
        <v>245</v>
      </c>
      <c r="B156" s="44"/>
      <c r="C156" s="44" t="s">
        <v>229</v>
      </c>
      <c r="D156" s="63">
        <f>D151+D153</f>
        <v>0</v>
      </c>
      <c r="E156" s="63">
        <f t="shared" ref="E156:O156" si="58">E151+E153</f>
        <v>0</v>
      </c>
      <c r="F156" s="63">
        <f t="shared" si="58"/>
        <v>0</v>
      </c>
      <c r="G156" s="63">
        <f t="shared" si="58"/>
        <v>0</v>
      </c>
      <c r="H156" s="63">
        <f t="shared" si="58"/>
        <v>0</v>
      </c>
      <c r="I156" s="63">
        <f t="shared" si="58"/>
        <v>0</v>
      </c>
      <c r="J156" s="63">
        <f t="shared" si="58"/>
        <v>0</v>
      </c>
      <c r="K156" s="63">
        <f t="shared" si="58"/>
        <v>0</v>
      </c>
      <c r="L156" s="63">
        <f t="shared" si="58"/>
        <v>0</v>
      </c>
      <c r="M156" s="63">
        <f t="shared" si="58"/>
        <v>0</v>
      </c>
      <c r="N156" s="63">
        <f t="shared" si="58"/>
        <v>0</v>
      </c>
      <c r="O156" s="63">
        <f t="shared" si="58"/>
        <v>0</v>
      </c>
      <c r="P156" s="30"/>
    </row>
    <row r="157" spans="1:16" x14ac:dyDescent="0.25">
      <c r="A157" s="44"/>
      <c r="B157" s="44"/>
      <c r="C157" s="44"/>
      <c r="D157" s="28"/>
      <c r="E157" s="28"/>
      <c r="F157" s="28"/>
      <c r="G157" s="28"/>
      <c r="H157" s="28"/>
      <c r="I157" s="28"/>
      <c r="J157" s="28"/>
      <c r="K157" s="28"/>
      <c r="L157" s="28"/>
      <c r="M157" s="28"/>
      <c r="N157" s="28"/>
      <c r="O157" s="28"/>
      <c r="P157" s="30"/>
    </row>
    <row r="158" spans="1:16" x14ac:dyDescent="0.25">
      <c r="A158" s="9" t="s">
        <v>241</v>
      </c>
      <c r="B158" s="9" t="s">
        <v>240</v>
      </c>
      <c r="C158" s="9" t="s">
        <v>246</v>
      </c>
      <c r="D158" s="28">
        <f>(D122+D116)*$D$128</f>
        <v>0</v>
      </c>
      <c r="E158" s="28">
        <f t="shared" ref="E158:O158" si="59">(E122+E116)*$D$128</f>
        <v>0</v>
      </c>
      <c r="F158" s="28">
        <f t="shared" si="59"/>
        <v>0</v>
      </c>
      <c r="G158" s="28">
        <f t="shared" si="59"/>
        <v>0</v>
      </c>
      <c r="H158" s="28">
        <f t="shared" si="59"/>
        <v>0</v>
      </c>
      <c r="I158" s="28">
        <f t="shared" si="59"/>
        <v>0</v>
      </c>
      <c r="J158" s="28">
        <f t="shared" si="59"/>
        <v>0</v>
      </c>
      <c r="K158" s="28">
        <f t="shared" si="59"/>
        <v>0</v>
      </c>
      <c r="L158" s="28">
        <f t="shared" si="59"/>
        <v>0</v>
      </c>
      <c r="M158" s="28">
        <f t="shared" si="59"/>
        <v>0</v>
      </c>
      <c r="N158" s="28">
        <f t="shared" si="59"/>
        <v>0</v>
      </c>
      <c r="O158" s="28">
        <f t="shared" si="59"/>
        <v>0</v>
      </c>
      <c r="P158" s="66"/>
    </row>
    <row r="159" spans="1:16" x14ac:dyDescent="0.25">
      <c r="A159" s="9" t="s">
        <v>247</v>
      </c>
      <c r="B159" s="9" t="s">
        <v>248</v>
      </c>
      <c r="C159" s="9" t="s">
        <v>249</v>
      </c>
      <c r="D159" s="28">
        <f t="shared" ref="D159:O160" si="60">(D123+D117)*$D$128</f>
        <v>0</v>
      </c>
      <c r="E159" s="28">
        <f t="shared" si="60"/>
        <v>0</v>
      </c>
      <c r="F159" s="28">
        <f t="shared" si="60"/>
        <v>0</v>
      </c>
      <c r="G159" s="28">
        <f t="shared" si="60"/>
        <v>0</v>
      </c>
      <c r="H159" s="28">
        <f t="shared" si="60"/>
        <v>0</v>
      </c>
      <c r="I159" s="28">
        <f t="shared" si="60"/>
        <v>0</v>
      </c>
      <c r="J159" s="28">
        <f t="shared" si="60"/>
        <v>0</v>
      </c>
      <c r="K159" s="28">
        <f t="shared" si="60"/>
        <v>0</v>
      </c>
      <c r="L159" s="28">
        <f t="shared" si="60"/>
        <v>0</v>
      </c>
      <c r="M159" s="28">
        <f t="shared" si="60"/>
        <v>0</v>
      </c>
      <c r="N159" s="28">
        <f t="shared" si="60"/>
        <v>0</v>
      </c>
      <c r="O159" s="28">
        <f t="shared" si="60"/>
        <v>0</v>
      </c>
      <c r="P159" s="30"/>
    </row>
    <row r="160" spans="1:16" x14ac:dyDescent="0.25">
      <c r="A160" s="9" t="s">
        <v>250</v>
      </c>
      <c r="B160" s="9" t="s">
        <v>251</v>
      </c>
      <c r="C160" s="9" t="s">
        <v>252</v>
      </c>
      <c r="D160" s="28">
        <f t="shared" si="60"/>
        <v>0</v>
      </c>
      <c r="E160" s="28">
        <f t="shared" si="60"/>
        <v>0</v>
      </c>
      <c r="F160" s="28">
        <f t="shared" si="60"/>
        <v>0</v>
      </c>
      <c r="G160" s="28">
        <f t="shared" si="60"/>
        <v>0</v>
      </c>
      <c r="H160" s="28">
        <f t="shared" si="60"/>
        <v>0</v>
      </c>
      <c r="I160" s="28">
        <f t="shared" si="60"/>
        <v>0</v>
      </c>
      <c r="J160" s="28">
        <f t="shared" si="60"/>
        <v>0</v>
      </c>
      <c r="K160" s="28">
        <f t="shared" si="60"/>
        <v>0</v>
      </c>
      <c r="L160" s="28">
        <f t="shared" si="60"/>
        <v>0</v>
      </c>
      <c r="M160" s="28">
        <f t="shared" si="60"/>
        <v>0</v>
      </c>
      <c r="N160" s="28">
        <f t="shared" si="60"/>
        <v>0</v>
      </c>
      <c r="O160" s="28">
        <f t="shared" si="60"/>
        <v>0</v>
      </c>
      <c r="P160" s="30"/>
    </row>
    <row r="161" spans="1:16" x14ac:dyDescent="0.25">
      <c r="A161" s="9"/>
      <c r="B161" s="9"/>
      <c r="C161" s="9"/>
      <c r="D161" s="28"/>
      <c r="E161" s="28"/>
      <c r="F161" s="28"/>
      <c r="G161" s="28"/>
      <c r="H161" s="28"/>
      <c r="I161" s="28"/>
      <c r="J161" s="28"/>
      <c r="K161" s="28"/>
      <c r="L161" s="28"/>
      <c r="M161" s="28"/>
      <c r="N161" s="28"/>
      <c r="O161" s="28"/>
      <c r="P161" s="30"/>
    </row>
    <row r="162" spans="1:16" x14ac:dyDescent="0.25">
      <c r="A162" s="9" t="s">
        <v>253</v>
      </c>
      <c r="B162" s="9" t="s">
        <v>306</v>
      </c>
      <c r="C162" s="9" t="s">
        <v>246</v>
      </c>
      <c r="D162" s="28">
        <f>(D122+D116)*$D$129</f>
        <v>0</v>
      </c>
      <c r="E162" s="28">
        <f t="shared" ref="E162:O162" si="61">(E122+E116)*$D$129</f>
        <v>0</v>
      </c>
      <c r="F162" s="28">
        <f t="shared" si="61"/>
        <v>0</v>
      </c>
      <c r="G162" s="28">
        <f t="shared" si="61"/>
        <v>0</v>
      </c>
      <c r="H162" s="28">
        <f t="shared" si="61"/>
        <v>0</v>
      </c>
      <c r="I162" s="28">
        <f t="shared" si="61"/>
        <v>0</v>
      </c>
      <c r="J162" s="28">
        <f t="shared" si="61"/>
        <v>0</v>
      </c>
      <c r="K162" s="28">
        <f t="shared" si="61"/>
        <v>0</v>
      </c>
      <c r="L162" s="28">
        <f t="shared" si="61"/>
        <v>0</v>
      </c>
      <c r="M162" s="28">
        <f t="shared" si="61"/>
        <v>0</v>
      </c>
      <c r="N162" s="28">
        <f t="shared" si="61"/>
        <v>0</v>
      </c>
      <c r="O162" s="28">
        <f t="shared" si="61"/>
        <v>0</v>
      </c>
      <c r="P162" s="30"/>
    </row>
    <row r="163" spans="1:16" x14ac:dyDescent="0.25">
      <c r="A163" s="9" t="s">
        <v>254</v>
      </c>
      <c r="B163" s="9" t="s">
        <v>307</v>
      </c>
      <c r="C163" s="9" t="s">
        <v>249</v>
      </c>
      <c r="D163" s="28">
        <f t="shared" ref="D163:O164" si="62">(D123+D117)*$D$129</f>
        <v>0</v>
      </c>
      <c r="E163" s="28">
        <f t="shared" si="62"/>
        <v>0</v>
      </c>
      <c r="F163" s="28">
        <f t="shared" si="62"/>
        <v>0</v>
      </c>
      <c r="G163" s="28">
        <f t="shared" si="62"/>
        <v>0</v>
      </c>
      <c r="H163" s="28">
        <f t="shared" si="62"/>
        <v>0</v>
      </c>
      <c r="I163" s="28">
        <f t="shared" si="62"/>
        <v>0</v>
      </c>
      <c r="J163" s="28">
        <f t="shared" si="62"/>
        <v>0</v>
      </c>
      <c r="K163" s="28">
        <f t="shared" si="62"/>
        <v>0</v>
      </c>
      <c r="L163" s="28">
        <f t="shared" si="62"/>
        <v>0</v>
      </c>
      <c r="M163" s="28">
        <f t="shared" si="62"/>
        <v>0</v>
      </c>
      <c r="N163" s="28">
        <f t="shared" si="62"/>
        <v>0</v>
      </c>
      <c r="O163" s="28">
        <f t="shared" si="62"/>
        <v>0</v>
      </c>
      <c r="P163" s="30"/>
    </row>
    <row r="164" spans="1:16" x14ac:dyDescent="0.25">
      <c r="A164" s="9" t="s">
        <v>255</v>
      </c>
      <c r="B164" s="9" t="s">
        <v>308</v>
      </c>
      <c r="C164" s="9" t="s">
        <v>252</v>
      </c>
      <c r="D164" s="28">
        <f t="shared" si="62"/>
        <v>0</v>
      </c>
      <c r="E164" s="28">
        <f t="shared" si="62"/>
        <v>0</v>
      </c>
      <c r="F164" s="28">
        <f t="shared" si="62"/>
        <v>0</v>
      </c>
      <c r="G164" s="28">
        <f t="shared" si="62"/>
        <v>0</v>
      </c>
      <c r="H164" s="28">
        <f t="shared" si="62"/>
        <v>0</v>
      </c>
      <c r="I164" s="28">
        <f t="shared" si="62"/>
        <v>0</v>
      </c>
      <c r="J164" s="28">
        <f t="shared" si="62"/>
        <v>0</v>
      </c>
      <c r="K164" s="28">
        <f t="shared" si="62"/>
        <v>0</v>
      </c>
      <c r="L164" s="28">
        <f t="shared" si="62"/>
        <v>0</v>
      </c>
      <c r="M164" s="28">
        <f t="shared" si="62"/>
        <v>0</v>
      </c>
      <c r="N164" s="28">
        <f t="shared" si="62"/>
        <v>0</v>
      </c>
      <c r="O164" s="28">
        <f t="shared" si="62"/>
        <v>0</v>
      </c>
      <c r="P164" s="30"/>
    </row>
    <row r="165" spans="1:16" x14ac:dyDescent="0.25">
      <c r="A165" s="9"/>
      <c r="B165" s="9"/>
      <c r="C165" s="9"/>
      <c r="D165" s="28"/>
      <c r="E165" s="28"/>
      <c r="F165" s="28"/>
      <c r="G165" s="28"/>
      <c r="H165" s="28"/>
      <c r="I165" s="28"/>
      <c r="J165" s="28"/>
      <c r="K165" s="28"/>
      <c r="L165" s="28"/>
      <c r="M165" s="28"/>
      <c r="N165" s="28"/>
      <c r="O165" s="28"/>
      <c r="P165" s="30"/>
    </row>
    <row r="166" spans="1:16" x14ac:dyDescent="0.25">
      <c r="A166" s="9" t="s">
        <v>256</v>
      </c>
      <c r="B166" s="9" t="s">
        <v>737</v>
      </c>
      <c r="C166" s="9" t="s">
        <v>246</v>
      </c>
      <c r="D166" s="28">
        <f>D162*$D133</f>
        <v>0</v>
      </c>
      <c r="E166" s="28">
        <f t="shared" ref="E166:N166" si="63">E162*$D133</f>
        <v>0</v>
      </c>
      <c r="F166" s="28">
        <f t="shared" si="63"/>
        <v>0</v>
      </c>
      <c r="G166" s="28">
        <f t="shared" si="63"/>
        <v>0</v>
      </c>
      <c r="H166" s="28">
        <f t="shared" si="63"/>
        <v>0</v>
      </c>
      <c r="I166" s="28">
        <f t="shared" si="63"/>
        <v>0</v>
      </c>
      <c r="J166" s="28">
        <f t="shared" si="63"/>
        <v>0</v>
      </c>
      <c r="K166" s="28">
        <f t="shared" si="63"/>
        <v>0</v>
      </c>
      <c r="L166" s="28">
        <f t="shared" si="63"/>
        <v>0</v>
      </c>
      <c r="M166" s="28">
        <f t="shared" si="63"/>
        <v>0</v>
      </c>
      <c r="N166" s="28">
        <f t="shared" si="63"/>
        <v>0</v>
      </c>
      <c r="O166" s="28">
        <f t="shared" ref="O166" si="64">(O122+O116)*$D$130</f>
        <v>0</v>
      </c>
      <c r="P166" s="30"/>
    </row>
    <row r="167" spans="1:16" x14ac:dyDescent="0.25">
      <c r="A167" s="9" t="s">
        <v>257</v>
      </c>
      <c r="B167" s="9" t="s">
        <v>738</v>
      </c>
      <c r="C167" s="9" t="s">
        <v>249</v>
      </c>
      <c r="D167" s="28">
        <f>D163*$D134</f>
        <v>0</v>
      </c>
      <c r="E167" s="28">
        <f t="shared" ref="E167:N167" si="65">E163*$D134</f>
        <v>0</v>
      </c>
      <c r="F167" s="28">
        <f>F163*$D134</f>
        <v>0</v>
      </c>
      <c r="G167" s="28">
        <f t="shared" si="65"/>
        <v>0</v>
      </c>
      <c r="H167" s="28">
        <f t="shared" si="65"/>
        <v>0</v>
      </c>
      <c r="I167" s="28">
        <f t="shared" si="65"/>
        <v>0</v>
      </c>
      <c r="J167" s="28">
        <f t="shared" si="65"/>
        <v>0</v>
      </c>
      <c r="K167" s="28">
        <f t="shared" si="65"/>
        <v>0</v>
      </c>
      <c r="L167" s="28">
        <f t="shared" si="65"/>
        <v>0</v>
      </c>
      <c r="M167" s="28">
        <f t="shared" si="65"/>
        <v>0</v>
      </c>
      <c r="N167" s="28">
        <f t="shared" si="65"/>
        <v>0</v>
      </c>
      <c r="O167" s="28">
        <f t="shared" ref="O167" si="66">(O123+O117)*$D$130</f>
        <v>0</v>
      </c>
      <c r="P167" s="30"/>
    </row>
    <row r="168" spans="1:16" x14ac:dyDescent="0.25">
      <c r="A168" s="9" t="s">
        <v>258</v>
      </c>
      <c r="B168" s="9" t="s">
        <v>739</v>
      </c>
      <c r="C168" s="9" t="s">
        <v>252</v>
      </c>
      <c r="D168" s="28">
        <f>D164*$D135</f>
        <v>0</v>
      </c>
      <c r="E168" s="28">
        <f t="shared" ref="E168:N168" si="67">E164*$D135</f>
        <v>0</v>
      </c>
      <c r="F168" s="28">
        <f>F164*$D135</f>
        <v>0</v>
      </c>
      <c r="G168" s="28">
        <f t="shared" si="67"/>
        <v>0</v>
      </c>
      <c r="H168" s="28">
        <f t="shared" si="67"/>
        <v>0</v>
      </c>
      <c r="I168" s="28">
        <f t="shared" si="67"/>
        <v>0</v>
      </c>
      <c r="J168" s="28">
        <f t="shared" si="67"/>
        <v>0</v>
      </c>
      <c r="K168" s="28">
        <f t="shared" si="67"/>
        <v>0</v>
      </c>
      <c r="L168" s="28">
        <f t="shared" si="67"/>
        <v>0</v>
      </c>
      <c r="M168" s="28">
        <f t="shared" si="67"/>
        <v>0</v>
      </c>
      <c r="N168" s="28">
        <f t="shared" si="67"/>
        <v>0</v>
      </c>
      <c r="O168" s="28">
        <f t="shared" ref="O168" si="68">(O124+O118)*$D$130</f>
        <v>0</v>
      </c>
      <c r="P168" s="30"/>
    </row>
    <row r="169" spans="1:16" x14ac:dyDescent="0.25">
      <c r="A169" s="9"/>
      <c r="B169" s="9"/>
      <c r="C169" s="9"/>
      <c r="D169" s="28"/>
      <c r="E169" s="28"/>
      <c r="F169" s="28"/>
      <c r="G169" s="28"/>
      <c r="H169" s="28"/>
      <c r="I169" s="28"/>
      <c r="J169" s="28"/>
      <c r="K169" s="28"/>
      <c r="L169" s="28"/>
      <c r="M169" s="28"/>
      <c r="N169" s="28"/>
      <c r="O169" s="28"/>
      <c r="P169" s="30"/>
    </row>
    <row r="170" spans="1:16" x14ac:dyDescent="0.25">
      <c r="A170" s="9" t="s">
        <v>740</v>
      </c>
      <c r="B170" s="9" t="s">
        <v>743</v>
      </c>
      <c r="C170" s="9" t="s">
        <v>246</v>
      </c>
      <c r="D170" s="28">
        <f>D162-D166</f>
        <v>0</v>
      </c>
      <c r="E170" s="28">
        <f t="shared" ref="E170:O170" si="69">E162-E166</f>
        <v>0</v>
      </c>
      <c r="F170" s="28">
        <f t="shared" si="69"/>
        <v>0</v>
      </c>
      <c r="G170" s="28">
        <f t="shared" si="69"/>
        <v>0</v>
      </c>
      <c r="H170" s="28">
        <f t="shared" si="69"/>
        <v>0</v>
      </c>
      <c r="I170" s="28">
        <f t="shared" si="69"/>
        <v>0</v>
      </c>
      <c r="J170" s="28">
        <f t="shared" si="69"/>
        <v>0</v>
      </c>
      <c r="K170" s="28">
        <f t="shared" si="69"/>
        <v>0</v>
      </c>
      <c r="L170" s="28">
        <f t="shared" si="69"/>
        <v>0</v>
      </c>
      <c r="M170" s="28">
        <f t="shared" si="69"/>
        <v>0</v>
      </c>
      <c r="N170" s="28">
        <f t="shared" si="69"/>
        <v>0</v>
      </c>
      <c r="O170" s="28">
        <f t="shared" si="69"/>
        <v>0</v>
      </c>
      <c r="P170" s="30"/>
    </row>
    <row r="171" spans="1:16" x14ac:dyDescent="0.25">
      <c r="A171" s="9" t="s">
        <v>741</v>
      </c>
      <c r="B171" s="9" t="s">
        <v>744</v>
      </c>
      <c r="C171" s="9" t="s">
        <v>249</v>
      </c>
      <c r="D171" s="28">
        <f t="shared" ref="D171:O172" si="70">D163-D167</f>
        <v>0</v>
      </c>
      <c r="E171" s="28">
        <f t="shared" si="70"/>
        <v>0</v>
      </c>
      <c r="F171" s="28">
        <f t="shared" si="70"/>
        <v>0</v>
      </c>
      <c r="G171" s="28">
        <f t="shared" si="70"/>
        <v>0</v>
      </c>
      <c r="H171" s="28">
        <f t="shared" si="70"/>
        <v>0</v>
      </c>
      <c r="I171" s="28">
        <f t="shared" si="70"/>
        <v>0</v>
      </c>
      <c r="J171" s="28">
        <f t="shared" si="70"/>
        <v>0</v>
      </c>
      <c r="K171" s="28">
        <f t="shared" si="70"/>
        <v>0</v>
      </c>
      <c r="L171" s="28">
        <f t="shared" si="70"/>
        <v>0</v>
      </c>
      <c r="M171" s="28">
        <f t="shared" si="70"/>
        <v>0</v>
      </c>
      <c r="N171" s="28">
        <f t="shared" si="70"/>
        <v>0</v>
      </c>
      <c r="O171" s="28">
        <f t="shared" si="70"/>
        <v>0</v>
      </c>
      <c r="P171" s="30"/>
    </row>
    <row r="172" spans="1:16" x14ac:dyDescent="0.25">
      <c r="A172" s="9" t="s">
        <v>742</v>
      </c>
      <c r="B172" s="9" t="s">
        <v>745</v>
      </c>
      <c r="C172" s="9" t="s">
        <v>252</v>
      </c>
      <c r="D172" s="28">
        <f t="shared" si="70"/>
        <v>0</v>
      </c>
      <c r="E172" s="28">
        <f t="shared" si="70"/>
        <v>0</v>
      </c>
      <c r="F172" s="28">
        <f t="shared" si="70"/>
        <v>0</v>
      </c>
      <c r="G172" s="28">
        <f t="shared" si="70"/>
        <v>0</v>
      </c>
      <c r="H172" s="28">
        <f t="shared" si="70"/>
        <v>0</v>
      </c>
      <c r="I172" s="28">
        <f t="shared" si="70"/>
        <v>0</v>
      </c>
      <c r="J172" s="28">
        <f t="shared" si="70"/>
        <v>0</v>
      </c>
      <c r="K172" s="28">
        <f t="shared" si="70"/>
        <v>0</v>
      </c>
      <c r="L172" s="28">
        <f t="shared" si="70"/>
        <v>0</v>
      </c>
      <c r="M172" s="28">
        <f t="shared" si="70"/>
        <v>0</v>
      </c>
      <c r="N172" s="28">
        <f t="shared" si="70"/>
        <v>0</v>
      </c>
      <c r="O172" s="28">
        <f t="shared" si="70"/>
        <v>0</v>
      </c>
      <c r="P172" s="30"/>
    </row>
    <row r="173" spans="1:16" x14ac:dyDescent="0.25">
      <c r="D173" s="28"/>
      <c r="E173" s="28"/>
      <c r="F173" s="28"/>
      <c r="G173" s="28"/>
      <c r="H173" s="28"/>
      <c r="I173" s="28"/>
      <c r="J173" s="28"/>
      <c r="K173" s="28"/>
      <c r="L173" s="28"/>
      <c r="M173" s="28"/>
      <c r="N173" s="28"/>
      <c r="O173" s="28"/>
      <c r="P173" s="30"/>
    </row>
    <row r="174" spans="1:16" x14ac:dyDescent="0.25">
      <c r="A174" s="5" t="s">
        <v>259</v>
      </c>
      <c r="B174" s="9" t="s">
        <v>260</v>
      </c>
      <c r="C174" s="33"/>
      <c r="D174" s="28"/>
      <c r="E174" s="28"/>
      <c r="F174" s="28"/>
      <c r="G174" s="28"/>
      <c r="H174" s="28"/>
      <c r="I174" s="28"/>
      <c r="J174" s="28"/>
      <c r="K174" s="28"/>
      <c r="L174" s="28"/>
      <c r="M174" s="28"/>
      <c r="N174" s="28"/>
      <c r="O174" s="28"/>
      <c r="P174" s="30"/>
    </row>
    <row r="175" spans="1:16" x14ac:dyDescent="0.25">
      <c r="A175" s="5" t="s">
        <v>58</v>
      </c>
      <c r="B175" s="44" t="s">
        <v>261</v>
      </c>
      <c r="C175" s="5" t="s">
        <v>233</v>
      </c>
      <c r="D175" s="46">
        <f>IF(D$156&lt;=0,0,(D166+D158)/D$156)</f>
        <v>0</v>
      </c>
      <c r="E175" s="46">
        <f t="shared" ref="E175:O175" si="71">IF(E$156&lt;=0,0,(E166+E158)/E$156)</f>
        <v>0</v>
      </c>
      <c r="F175" s="46">
        <f t="shared" si="71"/>
        <v>0</v>
      </c>
      <c r="G175" s="46">
        <f t="shared" si="71"/>
        <v>0</v>
      </c>
      <c r="H175" s="46">
        <f t="shared" si="71"/>
        <v>0</v>
      </c>
      <c r="I175" s="46">
        <f t="shared" si="71"/>
        <v>0</v>
      </c>
      <c r="J175" s="46">
        <f t="shared" si="71"/>
        <v>0</v>
      </c>
      <c r="K175" s="46">
        <f t="shared" si="71"/>
        <v>0</v>
      </c>
      <c r="L175" s="46">
        <f t="shared" si="71"/>
        <v>0</v>
      </c>
      <c r="M175" s="46">
        <f t="shared" si="71"/>
        <v>0</v>
      </c>
      <c r="N175" s="46">
        <f t="shared" si="71"/>
        <v>0</v>
      </c>
      <c r="O175" s="46">
        <f t="shared" si="71"/>
        <v>0</v>
      </c>
      <c r="P175" s="30"/>
    </row>
    <row r="176" spans="1:16" x14ac:dyDescent="0.25">
      <c r="A176" s="5" t="s">
        <v>59</v>
      </c>
      <c r="B176" s="5"/>
      <c r="C176" s="5" t="s">
        <v>234</v>
      </c>
      <c r="D176" s="46">
        <f t="shared" ref="D176:O177" si="72">IF(D$156&lt;=0,0,(D167+D159)/D$156)</f>
        <v>0</v>
      </c>
      <c r="E176" s="46">
        <f t="shared" si="72"/>
        <v>0</v>
      </c>
      <c r="F176" s="46">
        <f t="shared" si="72"/>
        <v>0</v>
      </c>
      <c r="G176" s="46">
        <f t="shared" si="72"/>
        <v>0</v>
      </c>
      <c r="H176" s="46">
        <f t="shared" si="72"/>
        <v>0</v>
      </c>
      <c r="I176" s="46">
        <f t="shared" si="72"/>
        <v>0</v>
      </c>
      <c r="J176" s="46">
        <f t="shared" si="72"/>
        <v>0</v>
      </c>
      <c r="K176" s="46">
        <f t="shared" si="72"/>
        <v>0</v>
      </c>
      <c r="L176" s="46">
        <f t="shared" si="72"/>
        <v>0</v>
      </c>
      <c r="M176" s="46">
        <f t="shared" si="72"/>
        <v>0</v>
      </c>
      <c r="N176" s="46">
        <f t="shared" si="72"/>
        <v>0</v>
      </c>
      <c r="O176" s="46">
        <f t="shared" si="72"/>
        <v>0</v>
      </c>
      <c r="P176" s="30"/>
    </row>
    <row r="177" spans="1:16" x14ac:dyDescent="0.25">
      <c r="A177" s="5" t="s">
        <v>60</v>
      </c>
      <c r="B177" s="5"/>
      <c r="C177" s="5" t="s">
        <v>235</v>
      </c>
      <c r="D177" s="46">
        <f t="shared" si="72"/>
        <v>0</v>
      </c>
      <c r="E177" s="46">
        <f t="shared" si="72"/>
        <v>0</v>
      </c>
      <c r="F177" s="46">
        <f t="shared" si="72"/>
        <v>0</v>
      </c>
      <c r="G177" s="46">
        <f t="shared" si="72"/>
        <v>0</v>
      </c>
      <c r="H177" s="46">
        <f t="shared" si="72"/>
        <v>0</v>
      </c>
      <c r="I177" s="46">
        <f t="shared" si="72"/>
        <v>0</v>
      </c>
      <c r="J177" s="46">
        <f t="shared" si="72"/>
        <v>0</v>
      </c>
      <c r="K177" s="46">
        <f t="shared" si="72"/>
        <v>0</v>
      </c>
      <c r="L177" s="46">
        <f t="shared" si="72"/>
        <v>0</v>
      </c>
      <c r="M177" s="46">
        <f t="shared" si="72"/>
        <v>0</v>
      </c>
      <c r="N177" s="46">
        <f t="shared" si="72"/>
        <v>0</v>
      </c>
      <c r="O177" s="46">
        <f t="shared" si="72"/>
        <v>0</v>
      </c>
      <c r="P177" s="30"/>
    </row>
    <row r="178" spans="1:16" x14ac:dyDescent="0.25">
      <c r="A178" s="33"/>
      <c r="B178" s="33"/>
      <c r="C178" s="33"/>
      <c r="D178" s="28"/>
      <c r="E178" s="28"/>
      <c r="F178" s="28"/>
      <c r="G178" s="28"/>
      <c r="H178" s="28"/>
      <c r="I178" s="28"/>
      <c r="J178" s="28"/>
      <c r="K178" s="28"/>
      <c r="L178" s="28"/>
      <c r="M178" s="28"/>
      <c r="N178" s="28"/>
      <c r="O178" s="28"/>
      <c r="P178" s="30"/>
    </row>
    <row r="179" spans="1:16" x14ac:dyDescent="0.25">
      <c r="A179" s="5" t="s">
        <v>236</v>
      </c>
      <c r="B179" s="33"/>
      <c r="C179" s="33"/>
      <c r="D179" s="28"/>
      <c r="E179" s="28"/>
      <c r="F179" s="28"/>
      <c r="G179" s="28"/>
      <c r="H179" s="28"/>
      <c r="I179" s="28"/>
      <c r="J179" s="28"/>
      <c r="K179" s="28"/>
      <c r="L179" s="28"/>
      <c r="M179" s="28"/>
      <c r="N179" s="28"/>
      <c r="O179" s="28"/>
      <c r="P179" s="30"/>
    </row>
    <row r="180" spans="1:16" x14ac:dyDescent="0.25">
      <c r="A180" s="5" t="s">
        <v>58</v>
      </c>
      <c r="B180" s="239" t="s">
        <v>746</v>
      </c>
      <c r="C180" s="5" t="s">
        <v>275</v>
      </c>
      <c r="D180" s="46">
        <f>IF(D$155&lt;=0,0,D170/D$155)</f>
        <v>0</v>
      </c>
      <c r="E180" s="46">
        <f t="shared" ref="E180:O180" si="73">IF(E$155&lt;=0,0,E170/E$155)</f>
        <v>0</v>
      </c>
      <c r="F180" s="46">
        <f t="shared" si="73"/>
        <v>0</v>
      </c>
      <c r="G180" s="46">
        <f t="shared" si="73"/>
        <v>0</v>
      </c>
      <c r="H180" s="46">
        <f t="shared" si="73"/>
        <v>0</v>
      </c>
      <c r="I180" s="46">
        <f t="shared" si="73"/>
        <v>0</v>
      </c>
      <c r="J180" s="46">
        <f t="shared" si="73"/>
        <v>0</v>
      </c>
      <c r="K180" s="46">
        <f t="shared" si="73"/>
        <v>0</v>
      </c>
      <c r="L180" s="46">
        <f t="shared" si="73"/>
        <v>0</v>
      </c>
      <c r="M180" s="46">
        <f t="shared" si="73"/>
        <v>0</v>
      </c>
      <c r="N180" s="46">
        <f t="shared" si="73"/>
        <v>0</v>
      </c>
      <c r="O180" s="46">
        <f t="shared" si="73"/>
        <v>0</v>
      </c>
      <c r="P180" s="30"/>
    </row>
    <row r="181" spans="1:16" x14ac:dyDescent="0.25">
      <c r="A181" s="5" t="s">
        <v>59</v>
      </c>
      <c r="B181" s="5"/>
      <c r="C181" s="5" t="s">
        <v>276</v>
      </c>
      <c r="D181" s="46">
        <f>IF(D$155&lt;=0,0,D171/D$155)</f>
        <v>0</v>
      </c>
      <c r="E181" s="46">
        <f t="shared" ref="E181:O181" si="74">IF(E$155&lt;=0,0,E171/E$155)</f>
        <v>0</v>
      </c>
      <c r="F181" s="46">
        <f t="shared" si="74"/>
        <v>0</v>
      </c>
      <c r="G181" s="46">
        <f t="shared" si="74"/>
        <v>0</v>
      </c>
      <c r="H181" s="46">
        <f t="shared" si="74"/>
        <v>0</v>
      </c>
      <c r="I181" s="46">
        <f t="shared" si="74"/>
        <v>0</v>
      </c>
      <c r="J181" s="46">
        <f t="shared" si="74"/>
        <v>0</v>
      </c>
      <c r="K181" s="46">
        <f t="shared" si="74"/>
        <v>0</v>
      </c>
      <c r="L181" s="46">
        <f t="shared" si="74"/>
        <v>0</v>
      </c>
      <c r="M181" s="46">
        <f t="shared" si="74"/>
        <v>0</v>
      </c>
      <c r="N181" s="46">
        <f t="shared" si="74"/>
        <v>0</v>
      </c>
      <c r="O181" s="46">
        <f t="shared" si="74"/>
        <v>0</v>
      </c>
      <c r="P181" s="30"/>
    </row>
    <row r="182" spans="1:16" x14ac:dyDescent="0.25">
      <c r="A182" s="5" t="s">
        <v>60</v>
      </c>
      <c r="B182" s="5"/>
      <c r="C182" s="5" t="s">
        <v>277</v>
      </c>
      <c r="D182" s="46">
        <f>IF(D$155&lt;=0,0,D172/D$155)</f>
        <v>0</v>
      </c>
      <c r="E182" s="46">
        <f t="shared" ref="E182:O182" si="75">IF(E$155&lt;=0,0,E172/E$155)</f>
        <v>0</v>
      </c>
      <c r="F182" s="46">
        <f t="shared" si="75"/>
        <v>0</v>
      </c>
      <c r="G182" s="46">
        <f t="shared" si="75"/>
        <v>0</v>
      </c>
      <c r="H182" s="46">
        <f t="shared" si="75"/>
        <v>0</v>
      </c>
      <c r="I182" s="46">
        <f t="shared" si="75"/>
        <v>0</v>
      </c>
      <c r="J182" s="46">
        <f t="shared" si="75"/>
        <v>0</v>
      </c>
      <c r="K182" s="46">
        <f t="shared" si="75"/>
        <v>0</v>
      </c>
      <c r="L182" s="46">
        <f t="shared" si="75"/>
        <v>0</v>
      </c>
      <c r="M182" s="46">
        <f t="shared" si="75"/>
        <v>0</v>
      </c>
      <c r="N182" s="46">
        <f t="shared" si="75"/>
        <v>0</v>
      </c>
      <c r="O182" s="46">
        <f t="shared" si="75"/>
        <v>0</v>
      </c>
      <c r="P182" s="30"/>
    </row>
    <row r="183" spans="1:16" x14ac:dyDescent="0.25">
      <c r="A183" s="5"/>
      <c r="B183" s="5"/>
      <c r="C183" s="5"/>
      <c r="D183" s="46"/>
      <c r="E183" s="46"/>
      <c r="F183" s="46"/>
      <c r="G183" s="46"/>
      <c r="H183" s="46"/>
      <c r="I183" s="46"/>
      <c r="J183" s="46"/>
      <c r="K183" s="46"/>
      <c r="L183" s="46"/>
      <c r="M183" s="46"/>
      <c r="N183" s="46"/>
      <c r="O183" s="46"/>
      <c r="P183" s="30"/>
    </row>
    <row r="184" spans="1:16" x14ac:dyDescent="0.25">
      <c r="D184" s="28"/>
      <c r="E184" s="28"/>
      <c r="F184" s="28"/>
      <c r="G184" s="28"/>
      <c r="H184" s="28"/>
      <c r="I184" s="28"/>
      <c r="J184" s="28"/>
      <c r="K184" s="28"/>
      <c r="L184" s="28"/>
      <c r="M184" s="28"/>
      <c r="N184" s="28"/>
      <c r="O184" s="28"/>
      <c r="P184" s="30"/>
    </row>
    <row r="185" spans="1:16" x14ac:dyDescent="0.25">
      <c r="A185" s="59" t="str">
        <f>'Saisie 2_bovins'!B16</f>
        <v>Génisse (6 mois-1 an)</v>
      </c>
      <c r="B185" s="59"/>
      <c r="C185" s="59"/>
      <c r="D185" s="59" t="s">
        <v>132</v>
      </c>
      <c r="E185" s="59" t="s">
        <v>133</v>
      </c>
      <c r="F185" s="59" t="s">
        <v>134</v>
      </c>
      <c r="G185" s="59" t="s">
        <v>135</v>
      </c>
      <c r="H185" s="59" t="s">
        <v>136</v>
      </c>
      <c r="I185" s="59" t="s">
        <v>137</v>
      </c>
      <c r="J185" s="59" t="s">
        <v>138</v>
      </c>
      <c r="K185" s="59" t="s">
        <v>139</v>
      </c>
      <c r="L185" s="59" t="s">
        <v>140</v>
      </c>
      <c r="M185" s="59" t="s">
        <v>141</v>
      </c>
      <c r="N185" s="59" t="s">
        <v>142</v>
      </c>
      <c r="O185" s="59" t="s">
        <v>143</v>
      </c>
      <c r="P185" s="30"/>
    </row>
    <row r="186" spans="1:16" x14ac:dyDescent="0.25">
      <c r="A186" s="42" t="s">
        <v>280</v>
      </c>
      <c r="B186" s="42"/>
      <c r="C186" s="42"/>
      <c r="D186" s="28" t="str">
        <f>'Saisie 2_bovins'!G18</f>
        <v>Foin</v>
      </c>
      <c r="E186" s="28" t="str">
        <f>'Saisie 2_bovins'!H18</f>
        <v>Foin</v>
      </c>
      <c r="F186" s="28" t="str">
        <f>'Saisie 2_bovins'!I18</f>
        <v>Herbe pâturée</v>
      </c>
      <c r="G186" s="28" t="str">
        <f>'Saisie 2_bovins'!J18</f>
        <v>Herbe pâturée</v>
      </c>
      <c r="H186" s="28" t="str">
        <f>'Saisie 2_bovins'!K18</f>
        <v>Herbe pâturée</v>
      </c>
      <c r="I186" s="28" t="str">
        <f>'Saisie 2_bovins'!L18</f>
        <v>Herbe pâturée</v>
      </c>
      <c r="J186" s="28">
        <f>'Saisie 2_bovins'!M18</f>
        <v>0</v>
      </c>
      <c r="K186" s="28">
        <f>'Saisie 2_bovins'!N18</f>
        <v>0</v>
      </c>
      <c r="L186" s="28">
        <f>'Saisie 2_bovins'!O18</f>
        <v>0</v>
      </c>
      <c r="M186" s="28">
        <f>'Saisie 2_bovins'!P18</f>
        <v>0</v>
      </c>
      <c r="N186" s="28">
        <f>'Saisie 2_bovins'!Q18</f>
        <v>0</v>
      </c>
      <c r="O186" s="28">
        <f>'Saisie 2_bovins'!R18</f>
        <v>0</v>
      </c>
      <c r="P186" s="30"/>
    </row>
    <row r="187" spans="1:16" x14ac:dyDescent="0.25">
      <c r="A187" t="s">
        <v>151</v>
      </c>
      <c r="B187" t="s">
        <v>328</v>
      </c>
      <c r="C187" t="s">
        <v>312</v>
      </c>
      <c r="D187" s="28">
        <f>IF(D186=param_bovins!$A$126,param_bovins!$H$126*'Saisie 2_bovins'!$D$17+param_bovins!$I$126,IF(Calculs_bovins!D186=param_bovins!$A$127,param_bovins!$H$127*'Saisie 2_bovins'!$D$17+param_bovins!$I$127,IF(Calculs_bovins!D186=param_bovins!$A$128,param_bovins!$H$128*'Saisie 2_bovins'!$D$17+param_bovins!$I$128,0)))</f>
        <v>105.75</v>
      </c>
      <c r="E187" s="28">
        <f>IF(E186=param_bovins!$A$126,param_bovins!$H$126*'Saisie 2_bovins'!$D$17+param_bovins!$I$126,IF(Calculs_bovins!E186=param_bovins!$A$127,param_bovins!$H$127*'Saisie 2_bovins'!$D$17+param_bovins!$I$127,IF(Calculs_bovins!E186=param_bovins!$A$128,param_bovins!$H$128*'Saisie 2_bovins'!$D$17+param_bovins!$I$128,0)))</f>
        <v>105.75</v>
      </c>
      <c r="F187" s="28">
        <f>IF(F186=param_bovins!$A$126,param_bovins!$H$126*'Saisie 2_bovins'!$D$17+param_bovins!$I$126,IF(Calculs_bovins!F186=param_bovins!$A$127,param_bovins!$H$127*'Saisie 2_bovins'!$D$17+param_bovins!$I$127,IF(Calculs_bovins!F186=param_bovins!$A$128,param_bovins!$H$128*'Saisie 2_bovins'!$D$17+param_bovins!$I$128,0)))</f>
        <v>152</v>
      </c>
      <c r="G187" s="28">
        <f>IF(G186=param_bovins!$A$126,param_bovins!$H$126*'Saisie 2_bovins'!$D$17+param_bovins!$I$126,IF(Calculs_bovins!G186=param_bovins!$A$127,param_bovins!$H$127*'Saisie 2_bovins'!$D$17+param_bovins!$I$127,IF(Calculs_bovins!G186=param_bovins!$A$128,param_bovins!$H$128*'Saisie 2_bovins'!$D$17+param_bovins!$I$128,0)))</f>
        <v>152</v>
      </c>
      <c r="H187" s="28">
        <f>IF(H186=param_bovins!$A$126,param_bovins!$H$126*'Saisie 2_bovins'!$D$17+param_bovins!$I$126,IF(Calculs_bovins!H186=param_bovins!$A$127,param_bovins!$H$127*'Saisie 2_bovins'!$D$17+param_bovins!$I$127,IF(Calculs_bovins!H186=param_bovins!$A$128,param_bovins!$H$128*'Saisie 2_bovins'!$D$17+param_bovins!$I$128,0)))</f>
        <v>152</v>
      </c>
      <c r="I187" s="28">
        <f>IF(I186=param_bovins!$A$126,param_bovins!$H$126*'Saisie 2_bovins'!$D$17+param_bovins!$I$126,IF(Calculs_bovins!I186=param_bovins!$A$127,param_bovins!$H$127*'Saisie 2_bovins'!$D$17+param_bovins!$I$127,IF(Calculs_bovins!I186=param_bovins!$A$128,param_bovins!$H$128*'Saisie 2_bovins'!$D$17+param_bovins!$I$128,0)))</f>
        <v>152</v>
      </c>
      <c r="J187" s="28">
        <f>IF(J186=param_bovins!$A$126,param_bovins!$H$126*'Saisie 2_bovins'!$D$17+param_bovins!$I$126,IF(Calculs_bovins!J186=param_bovins!$A$127,param_bovins!$H$127*'Saisie 2_bovins'!$D$17+param_bovins!$I$127,IF(Calculs_bovins!J186=param_bovins!$A$128,param_bovins!$H$128*'Saisie 2_bovins'!$D$17+param_bovins!$I$128,0)))</f>
        <v>0</v>
      </c>
      <c r="K187" s="28">
        <f>IF(K186=param_bovins!$A$126,param_bovins!$H$126*'Saisie 2_bovins'!$D$17+param_bovins!$I$126,IF(Calculs_bovins!K186=param_bovins!$A$127,param_bovins!$H$127*'Saisie 2_bovins'!$D$17+param_bovins!$I$127,IF(Calculs_bovins!K186=param_bovins!$A$128,param_bovins!$H$128*'Saisie 2_bovins'!$D$17+param_bovins!$I$128,0)))</f>
        <v>0</v>
      </c>
      <c r="L187" s="28">
        <f>IF(L186=param_bovins!$A$126,param_bovins!$H$126*'Saisie 2_bovins'!$D$17+param_bovins!$I$126,IF(Calculs_bovins!L186=param_bovins!$A$127,param_bovins!$H$127*'Saisie 2_bovins'!$D$17+param_bovins!$I$127,IF(Calculs_bovins!L186=param_bovins!$A$128,param_bovins!$H$128*'Saisie 2_bovins'!$D$17+param_bovins!$I$128,0)))</f>
        <v>0</v>
      </c>
      <c r="M187" s="28">
        <f>IF(M186=param_bovins!$A$126,param_bovins!$H$126*'Saisie 2_bovins'!$D$17+param_bovins!$I$126,IF(Calculs_bovins!M186=param_bovins!$A$127,param_bovins!$H$127*'Saisie 2_bovins'!$D$17+param_bovins!$I$127,IF(Calculs_bovins!M186=param_bovins!$A$128,param_bovins!$H$128*'Saisie 2_bovins'!$D$17+param_bovins!$I$128,0)))</f>
        <v>0</v>
      </c>
      <c r="N187" s="28">
        <f>IF(N186=param_bovins!$A$126,param_bovins!$H$126*'Saisie 2_bovins'!$D$17+param_bovins!$I$126,IF(Calculs_bovins!N186=param_bovins!$A$127,param_bovins!$H$127*'Saisie 2_bovins'!$D$17+param_bovins!$I$127,IF(Calculs_bovins!N186=param_bovins!$A$128,param_bovins!$H$128*'Saisie 2_bovins'!$D$17+param_bovins!$I$128,0)))</f>
        <v>0</v>
      </c>
      <c r="O187" s="28">
        <f>IF(O186=param_bovins!$A$126,param_bovins!$H$126*'Saisie 2_bovins'!$D$17+param_bovins!$I$126,IF(Calculs_bovins!O186=param_bovins!$A$127,param_bovins!$H$127*'Saisie 2_bovins'!$D$17+param_bovins!$I$127,IF(Calculs_bovins!O186=param_bovins!$A$128,param_bovins!$H$128*'Saisie 2_bovins'!$D$17+param_bovins!$I$128,0)))</f>
        <v>0</v>
      </c>
      <c r="P187" s="30"/>
    </row>
    <row r="188" spans="1:16" x14ac:dyDescent="0.25">
      <c r="A188" t="s">
        <v>144</v>
      </c>
      <c r="B188" t="s">
        <v>329</v>
      </c>
      <c r="C188" t="s">
        <v>313</v>
      </c>
      <c r="D188" s="60">
        <f>IF(D186=param_bovins!$A$126,param_bovins!$B$126*'Saisie 2_bovins'!$D$17+param_bovins!$C$126,IF(Calculs_bovins!D186=param_bovins!$A$127,param_bovins!$B$127*'Saisie 2_bovins'!$D$17+param_bovins!$C$127,IF(Calculs_bovins!D186=param_bovins!$A$128,param_bovins!$B$128*'Saisie 2_bovins'!$D$17+param_bovins!$C$128,0)))/1000</f>
        <v>2.25</v>
      </c>
      <c r="E188" s="60">
        <f>IF(E186=param_bovins!$A$126,param_bovins!$B$126*'Saisie 2_bovins'!$D$17+param_bovins!$C$126,IF(Calculs_bovins!E186=param_bovins!$A$127,param_bovins!$B$127*'Saisie 2_bovins'!$D$17+param_bovins!$C$127,IF(Calculs_bovins!E186=param_bovins!$A$128,param_bovins!$B$128*'Saisie 2_bovins'!$D$17+param_bovins!$C$128,0)))/1000</f>
        <v>2.25</v>
      </c>
      <c r="F188" s="60">
        <f>IF(F186=param_bovins!$A$126,param_bovins!$B$126*'Saisie 2_bovins'!$D$17+param_bovins!$C$126,IF(Calculs_bovins!F186=param_bovins!$A$127,param_bovins!$B$127*'Saisie 2_bovins'!$D$17+param_bovins!$C$127,IF(Calculs_bovins!F186=param_bovins!$A$128,param_bovins!$B$128*'Saisie 2_bovins'!$D$17+param_bovins!$C$128,0)))/1000</f>
        <v>3.0249999999999999</v>
      </c>
      <c r="G188" s="60">
        <f>IF(G186=param_bovins!$A$126,param_bovins!$B$126*'Saisie 2_bovins'!$D$17+param_bovins!$C$126,IF(Calculs_bovins!G186=param_bovins!$A$127,param_bovins!$B$127*'Saisie 2_bovins'!$D$17+param_bovins!$C$127,IF(Calculs_bovins!G186=param_bovins!$A$128,param_bovins!$B$128*'Saisie 2_bovins'!$D$17+param_bovins!$C$128,0)))/1000</f>
        <v>3.0249999999999999</v>
      </c>
      <c r="H188" s="60">
        <f>IF(H186=param_bovins!$A$126,param_bovins!$B$126*'Saisie 2_bovins'!$D$17+param_bovins!$C$126,IF(Calculs_bovins!H186=param_bovins!$A$127,param_bovins!$B$127*'Saisie 2_bovins'!$D$17+param_bovins!$C$127,IF(Calculs_bovins!H186=param_bovins!$A$128,param_bovins!$B$128*'Saisie 2_bovins'!$D$17+param_bovins!$C$128,0)))/1000</f>
        <v>3.0249999999999999</v>
      </c>
      <c r="I188" s="60">
        <f>IF(I186=param_bovins!$A$126,param_bovins!$B$126*'Saisie 2_bovins'!$D$17+param_bovins!$C$126,IF(Calculs_bovins!I186=param_bovins!$A$127,param_bovins!$B$127*'Saisie 2_bovins'!$D$17+param_bovins!$C$127,IF(Calculs_bovins!I186=param_bovins!$A$128,param_bovins!$B$128*'Saisie 2_bovins'!$D$17+param_bovins!$C$128,0)))/1000</f>
        <v>3.0249999999999999</v>
      </c>
      <c r="J188" s="60">
        <f>IF(J186=param_bovins!$A$126,param_bovins!$B$126*'Saisie 2_bovins'!$D$17+param_bovins!$C$126,IF(Calculs_bovins!J186=param_bovins!$A$127,param_bovins!$B$127*'Saisie 2_bovins'!$D$17+param_bovins!$C$127,IF(Calculs_bovins!J186=param_bovins!$A$128,param_bovins!$B$128*'Saisie 2_bovins'!$D$17+param_bovins!$C$128,0)))/1000</f>
        <v>0</v>
      </c>
      <c r="K188" s="60">
        <f>IF(K186=param_bovins!$A$126,param_bovins!$B$126*'Saisie 2_bovins'!$D$17+param_bovins!$C$126,IF(Calculs_bovins!K186=param_bovins!$A$127,param_bovins!$B$127*'Saisie 2_bovins'!$D$17+param_bovins!$C$127,IF(Calculs_bovins!K186=param_bovins!$A$128,param_bovins!$B$128*'Saisie 2_bovins'!$D$17+param_bovins!$C$128,0)))/1000</f>
        <v>0</v>
      </c>
      <c r="L188" s="60">
        <f>IF(L186=param_bovins!$A$126,param_bovins!$B$126*'Saisie 2_bovins'!$D$17+param_bovins!$C$126,IF(Calculs_bovins!L186=param_bovins!$A$127,param_bovins!$B$127*'Saisie 2_bovins'!$D$17+param_bovins!$C$127,IF(Calculs_bovins!L186=param_bovins!$A$128,param_bovins!$B$128*'Saisie 2_bovins'!$D$17+param_bovins!$C$128,0)))/1000</f>
        <v>0</v>
      </c>
      <c r="M188" s="60">
        <f>IF(M186=param_bovins!$A$126,param_bovins!$B$126*'Saisie 2_bovins'!$D$17+param_bovins!$C$126,IF(Calculs_bovins!M186=param_bovins!$A$127,param_bovins!$B$127*'Saisie 2_bovins'!$D$17+param_bovins!$C$127,IF(Calculs_bovins!M186=param_bovins!$A$128,param_bovins!$B$128*'Saisie 2_bovins'!$D$17+param_bovins!$C$128,0)))/1000</f>
        <v>0</v>
      </c>
      <c r="N188" s="60">
        <f>IF(N186=param_bovins!$A$126,param_bovins!$B$126*'Saisie 2_bovins'!$D$17+param_bovins!$C$126,IF(Calculs_bovins!N186=param_bovins!$A$127,param_bovins!$B$127*'Saisie 2_bovins'!$D$17+param_bovins!$C$127,IF(Calculs_bovins!N186=param_bovins!$A$128,param_bovins!$B$128*'Saisie 2_bovins'!$D$17+param_bovins!$C$128,0)))/1000</f>
        <v>0</v>
      </c>
      <c r="O188" s="60">
        <f>IF(O186=param_bovins!$A$126,param_bovins!$B$126*'Saisie 2_bovins'!$D$17+param_bovins!$C$126,IF(Calculs_bovins!O186=param_bovins!$A$127,param_bovins!$B$127*'Saisie 2_bovins'!$D$17+param_bovins!$C$127,IF(Calculs_bovins!O186=param_bovins!$A$128,param_bovins!$B$128*'Saisie 2_bovins'!$D$17+param_bovins!$C$128,0)))/1000</f>
        <v>0</v>
      </c>
      <c r="P188" s="30"/>
    </row>
    <row r="189" spans="1:16" x14ac:dyDescent="0.25">
      <c r="A189" t="s">
        <v>146</v>
      </c>
      <c r="B189" t="s">
        <v>329</v>
      </c>
      <c r="C189" t="s">
        <v>314</v>
      </c>
      <c r="D189" s="60">
        <f>IF(D186=param_bovins!$A$126,param_bovins!$D$126*'Saisie 2_bovins'!$D$17+param_bovins!$E$126,IF(Calculs_bovins!D186=param_bovins!$A$127,param_bovins!$D$127*'Saisie 2_bovins'!$D$17+param_bovins!$E$127,IF(Calculs_bovins!D186=param_bovins!$A$128,param_bovins!$D$128*'Saisie 2_bovins'!$D$17+param_bovins!$E$128,0)))/1000</f>
        <v>0.40500000000000003</v>
      </c>
      <c r="E189" s="60">
        <f>IF(E186=param_bovins!$A$126,param_bovins!$D$126*'Saisie 2_bovins'!$D$17+param_bovins!$E$126,IF(Calculs_bovins!E186=param_bovins!$A$127,param_bovins!$D$127*'Saisie 2_bovins'!$D$17+param_bovins!$E$127,IF(Calculs_bovins!E186=param_bovins!$A$128,param_bovins!$D$128*'Saisie 2_bovins'!$D$17+param_bovins!$E$128,0)))/1000</f>
        <v>0.40500000000000003</v>
      </c>
      <c r="F189" s="60">
        <f>IF(F186=param_bovins!$A$126,param_bovins!$D$126*'Saisie 2_bovins'!$D$17+param_bovins!$E$126,IF(Calculs_bovins!F186=param_bovins!$A$127,param_bovins!$D$127*'Saisie 2_bovins'!$D$17+param_bovins!$E$127,IF(Calculs_bovins!F186=param_bovins!$A$128,param_bovins!$D$128*'Saisie 2_bovins'!$D$17+param_bovins!$E$128,0)))/1000</f>
        <v>0.42</v>
      </c>
      <c r="G189" s="60">
        <f>IF(G186=param_bovins!$A$126,param_bovins!$D$126*'Saisie 2_bovins'!$D$17+param_bovins!$E$126,IF(Calculs_bovins!G186=param_bovins!$A$127,param_bovins!$D$127*'Saisie 2_bovins'!$D$17+param_bovins!$E$127,IF(Calculs_bovins!G186=param_bovins!$A$128,param_bovins!$D$128*'Saisie 2_bovins'!$D$17+param_bovins!$E$128,0)))/1000</f>
        <v>0.42</v>
      </c>
      <c r="H189" s="60">
        <f>IF(H186=param_bovins!$A$126,param_bovins!$D$126*'Saisie 2_bovins'!$D$17+param_bovins!$E$126,IF(Calculs_bovins!H186=param_bovins!$A$127,param_bovins!$D$127*'Saisie 2_bovins'!$D$17+param_bovins!$E$127,IF(Calculs_bovins!H186=param_bovins!$A$128,param_bovins!$D$128*'Saisie 2_bovins'!$D$17+param_bovins!$E$128,0)))/1000</f>
        <v>0.42</v>
      </c>
      <c r="I189" s="60">
        <f>IF(I186=param_bovins!$A$126,param_bovins!$D$126*'Saisie 2_bovins'!$D$17+param_bovins!$E$126,IF(Calculs_bovins!I186=param_bovins!$A$127,param_bovins!$D$127*'Saisie 2_bovins'!$D$17+param_bovins!$E$127,IF(Calculs_bovins!I186=param_bovins!$A$128,param_bovins!$D$128*'Saisie 2_bovins'!$D$17+param_bovins!$E$128,0)))/1000</f>
        <v>0.42</v>
      </c>
      <c r="J189" s="60">
        <f>IF(J186=param_bovins!$A$126,param_bovins!$D$126*'Saisie 2_bovins'!$D$17+param_bovins!$E$126,IF(Calculs_bovins!J186=param_bovins!$A$127,param_bovins!$D$127*'Saisie 2_bovins'!$D$17+param_bovins!$E$127,IF(Calculs_bovins!J186=param_bovins!$A$128,param_bovins!$D$128*'Saisie 2_bovins'!$D$17+param_bovins!$E$128,0)))/1000</f>
        <v>0</v>
      </c>
      <c r="K189" s="60">
        <f>IF(K186=param_bovins!$A$126,param_bovins!$D$126*'Saisie 2_bovins'!$D$17+param_bovins!$E$126,IF(Calculs_bovins!K186=param_bovins!$A$127,param_bovins!$D$127*'Saisie 2_bovins'!$D$17+param_bovins!$E$127,IF(Calculs_bovins!K186=param_bovins!$A$128,param_bovins!$D$128*'Saisie 2_bovins'!$D$17+param_bovins!$E$128,0)))/1000</f>
        <v>0</v>
      </c>
      <c r="L189" s="60">
        <f>IF(L186=param_bovins!$A$126,param_bovins!$D$126*'Saisie 2_bovins'!$D$17+param_bovins!$E$126,IF(Calculs_bovins!L186=param_bovins!$A$127,param_bovins!$D$127*'Saisie 2_bovins'!$D$17+param_bovins!$E$127,IF(Calculs_bovins!L186=param_bovins!$A$128,param_bovins!$D$128*'Saisie 2_bovins'!$D$17+param_bovins!$E$128,0)))/1000</f>
        <v>0</v>
      </c>
      <c r="M189" s="60">
        <f>IF(M186=param_bovins!$A$126,param_bovins!$D$126*'Saisie 2_bovins'!$D$17+param_bovins!$E$126,IF(Calculs_bovins!M186=param_bovins!$A$127,param_bovins!$D$127*'Saisie 2_bovins'!$D$17+param_bovins!$E$127,IF(Calculs_bovins!M186=param_bovins!$A$128,param_bovins!$D$128*'Saisie 2_bovins'!$D$17+param_bovins!$E$128,0)))/1000</f>
        <v>0</v>
      </c>
      <c r="N189" s="60">
        <f>IF(N186=param_bovins!$A$126,param_bovins!$D$126*'Saisie 2_bovins'!$D$17+param_bovins!$E$126,IF(Calculs_bovins!N186=param_bovins!$A$127,param_bovins!$D$127*'Saisie 2_bovins'!$D$17+param_bovins!$E$127,IF(Calculs_bovins!N186=param_bovins!$A$128,param_bovins!$D$128*'Saisie 2_bovins'!$D$17+param_bovins!$E$128,0)))/1000</f>
        <v>0</v>
      </c>
      <c r="O189" s="60">
        <f>IF(O186=param_bovins!$A$126,param_bovins!$D$126*'Saisie 2_bovins'!$D$17+param_bovins!$E$126,IF(Calculs_bovins!O186=param_bovins!$A$127,param_bovins!$D$127*'Saisie 2_bovins'!$D$17+param_bovins!$E$127,IF(Calculs_bovins!O186=param_bovins!$A$128,param_bovins!$D$128*'Saisie 2_bovins'!$D$17+param_bovins!$E$128,0)))/1000</f>
        <v>0</v>
      </c>
      <c r="P189" s="30"/>
    </row>
    <row r="190" spans="1:16" x14ac:dyDescent="0.25">
      <c r="A190" t="s">
        <v>150</v>
      </c>
      <c r="B190" t="s">
        <v>329</v>
      </c>
      <c r="C190" t="s">
        <v>315</v>
      </c>
      <c r="D190" s="60">
        <f>IF(D186=param_bovins!$A$126,param_bovins!$F$126*'Saisie 2_bovins'!$D$17+param_bovins!$G$126,IF(Calculs_bovins!D186=param_bovins!$A$127,param_bovins!$F$127*'Saisie 2_bovins'!$D$17+param_bovins!$G$127,IF(Calculs_bovins!D186=param_bovins!$A$128,param_bovins!$F$128*'Saisie 2_bovins'!$D$17+param_bovins!$G$128,0)))/1000</f>
        <v>2.15</v>
      </c>
      <c r="E190" s="60">
        <f>IF(E186=param_bovins!$A$126,param_bovins!$F$126*'Saisie 2_bovins'!$D$17+param_bovins!$G$126,IF(Calculs_bovins!E186=param_bovins!$A$127,param_bovins!$F$127*'Saisie 2_bovins'!$D$17+param_bovins!$G$127,IF(Calculs_bovins!E186=param_bovins!$A$128,param_bovins!$F$128*'Saisie 2_bovins'!$D$17+param_bovins!$G$128,0)))/1000</f>
        <v>2.15</v>
      </c>
      <c r="F190" s="60">
        <f>IF(F186=param_bovins!$A$126,param_bovins!$F$126*'Saisie 2_bovins'!$D$17+param_bovins!$G$126,IF(Calculs_bovins!F186=param_bovins!$A$127,param_bovins!$F$127*'Saisie 2_bovins'!$D$17+param_bovins!$G$127,IF(Calculs_bovins!F186=param_bovins!$A$128,param_bovins!$F$128*'Saisie 2_bovins'!$D$17+param_bovins!$G$128,0)))/1000</f>
        <v>4.05</v>
      </c>
      <c r="G190" s="60">
        <f>IF(G186=param_bovins!$A$126,param_bovins!$F$126*'Saisie 2_bovins'!$D$17+param_bovins!$G$126,IF(Calculs_bovins!G186=param_bovins!$A$127,param_bovins!$F$127*'Saisie 2_bovins'!$D$17+param_bovins!$G$127,IF(Calculs_bovins!G186=param_bovins!$A$128,param_bovins!$F$128*'Saisie 2_bovins'!$D$17+param_bovins!$G$128,0)))/1000</f>
        <v>4.05</v>
      </c>
      <c r="H190" s="60">
        <f>IF(H186=param_bovins!$A$126,param_bovins!$F$126*'Saisie 2_bovins'!$D$17+param_bovins!$G$126,IF(Calculs_bovins!H186=param_bovins!$A$127,param_bovins!$F$127*'Saisie 2_bovins'!$D$17+param_bovins!$G$127,IF(Calculs_bovins!H186=param_bovins!$A$128,param_bovins!$F$128*'Saisie 2_bovins'!$D$17+param_bovins!$G$128,0)))/1000</f>
        <v>4.05</v>
      </c>
      <c r="I190" s="60">
        <f>IF(I186=param_bovins!$A$126,param_bovins!$F$126*'Saisie 2_bovins'!$D$17+param_bovins!$G$126,IF(Calculs_bovins!I186=param_bovins!$A$127,param_bovins!$F$127*'Saisie 2_bovins'!$D$17+param_bovins!$G$127,IF(Calculs_bovins!I186=param_bovins!$A$128,param_bovins!$F$128*'Saisie 2_bovins'!$D$17+param_bovins!$G$128,0)))/1000</f>
        <v>4.05</v>
      </c>
      <c r="J190" s="60">
        <f>IF(J186=param_bovins!$A$126,param_bovins!$F$126*'Saisie 2_bovins'!$D$17+param_bovins!$G$126,IF(Calculs_bovins!J186=param_bovins!$A$127,param_bovins!$F$127*'Saisie 2_bovins'!$D$17+param_bovins!$G$127,IF(Calculs_bovins!J186=param_bovins!$A$128,param_bovins!$F$128*'Saisie 2_bovins'!$D$17+param_bovins!$G$128,0)))/1000</f>
        <v>0</v>
      </c>
      <c r="K190" s="60">
        <f>IF(K186=param_bovins!$A$126,param_bovins!$F$126*'Saisie 2_bovins'!$D$17+param_bovins!$G$126,IF(Calculs_bovins!K186=param_bovins!$A$127,param_bovins!$F$127*'Saisie 2_bovins'!$D$17+param_bovins!$G$127,IF(Calculs_bovins!K186=param_bovins!$A$128,param_bovins!$F$128*'Saisie 2_bovins'!$D$17+param_bovins!$G$128,0)))/1000</f>
        <v>0</v>
      </c>
      <c r="L190" s="60">
        <f>IF(L186=param_bovins!$A$126,param_bovins!$F$126*'Saisie 2_bovins'!$D$17+param_bovins!$G$126,IF(Calculs_bovins!L186=param_bovins!$A$127,param_bovins!$F$127*'Saisie 2_bovins'!$D$17+param_bovins!$G$127,IF(Calculs_bovins!L186=param_bovins!$A$128,param_bovins!$F$128*'Saisie 2_bovins'!$D$17+param_bovins!$G$128,0)))/1000</f>
        <v>0</v>
      </c>
      <c r="M190" s="60">
        <f>IF(M186=param_bovins!$A$126,param_bovins!$F$126*'Saisie 2_bovins'!$D$17+param_bovins!$G$126,IF(Calculs_bovins!M186=param_bovins!$A$127,param_bovins!$F$127*'Saisie 2_bovins'!$D$17+param_bovins!$G$127,IF(Calculs_bovins!M186=param_bovins!$A$128,param_bovins!$F$128*'Saisie 2_bovins'!$D$17+param_bovins!$G$128,0)))/1000</f>
        <v>0</v>
      </c>
      <c r="N190" s="60">
        <f>IF(N186=param_bovins!$A$126,param_bovins!$F$126*'Saisie 2_bovins'!$D$17+param_bovins!$G$126,IF(Calculs_bovins!N186=param_bovins!$A$127,param_bovins!$F$127*'Saisie 2_bovins'!$D$17+param_bovins!$G$127,IF(Calculs_bovins!N186=param_bovins!$A$128,param_bovins!$F$128*'Saisie 2_bovins'!$D$17+param_bovins!$G$128,0)))/1000</f>
        <v>0</v>
      </c>
      <c r="O190" s="60">
        <f>IF(O186=param_bovins!$A$126,param_bovins!$F$126*'Saisie 2_bovins'!$D$17+param_bovins!$G$126,IF(Calculs_bovins!O186=param_bovins!$A$127,param_bovins!$F$127*'Saisie 2_bovins'!$D$17+param_bovins!$G$127,IF(Calculs_bovins!O186=param_bovins!$A$128,param_bovins!$F$128*'Saisie 2_bovins'!$D$17+param_bovins!$G$128,0)))/1000</f>
        <v>0</v>
      </c>
      <c r="P190" s="30"/>
    </row>
    <row r="191" spans="1:16" x14ac:dyDescent="0.25">
      <c r="A191" s="36" t="s">
        <v>291</v>
      </c>
      <c r="B191" s="36"/>
      <c r="C191" s="36" t="s">
        <v>316</v>
      </c>
      <c r="D191" s="56">
        <f>D188*12</f>
        <v>27</v>
      </c>
      <c r="E191" s="56">
        <f t="shared" ref="E191:O191" si="76">E188*12</f>
        <v>27</v>
      </c>
      <c r="F191" s="56">
        <f t="shared" si="76"/>
        <v>36.299999999999997</v>
      </c>
      <c r="G191" s="56">
        <f t="shared" si="76"/>
        <v>36.299999999999997</v>
      </c>
      <c r="H191" s="56">
        <f t="shared" si="76"/>
        <v>36.299999999999997</v>
      </c>
      <c r="I191" s="56">
        <f t="shared" si="76"/>
        <v>36.299999999999997</v>
      </c>
      <c r="J191" s="56">
        <f t="shared" si="76"/>
        <v>0</v>
      </c>
      <c r="K191" s="56">
        <f t="shared" si="76"/>
        <v>0</v>
      </c>
      <c r="L191" s="56">
        <f t="shared" si="76"/>
        <v>0</v>
      </c>
      <c r="M191" s="56">
        <f t="shared" si="76"/>
        <v>0</v>
      </c>
      <c r="N191" s="56">
        <f t="shared" si="76"/>
        <v>0</v>
      </c>
      <c r="O191" s="56">
        <f t="shared" si="76"/>
        <v>0</v>
      </c>
      <c r="P191" s="30"/>
    </row>
    <row r="192" spans="1:16" x14ac:dyDescent="0.25">
      <c r="A192" s="36"/>
      <c r="B192" s="36"/>
      <c r="C192" s="36" t="s">
        <v>317</v>
      </c>
      <c r="D192" s="56">
        <f>D189*12</f>
        <v>4.8600000000000003</v>
      </c>
      <c r="E192" s="56">
        <f t="shared" ref="E192:O192" si="77">E189*12</f>
        <v>4.8600000000000003</v>
      </c>
      <c r="F192" s="56">
        <f t="shared" si="77"/>
        <v>5.04</v>
      </c>
      <c r="G192" s="56">
        <f t="shared" si="77"/>
        <v>5.04</v>
      </c>
      <c r="H192" s="56">
        <f t="shared" si="77"/>
        <v>5.04</v>
      </c>
      <c r="I192" s="56">
        <f t="shared" si="77"/>
        <v>5.04</v>
      </c>
      <c r="J192" s="56">
        <f t="shared" si="77"/>
        <v>0</v>
      </c>
      <c r="K192" s="56">
        <f t="shared" si="77"/>
        <v>0</v>
      </c>
      <c r="L192" s="56">
        <f t="shared" si="77"/>
        <v>0</v>
      </c>
      <c r="M192" s="56">
        <f t="shared" si="77"/>
        <v>0</v>
      </c>
      <c r="N192" s="56">
        <f t="shared" si="77"/>
        <v>0</v>
      </c>
      <c r="O192" s="56">
        <f t="shared" si="77"/>
        <v>0</v>
      </c>
      <c r="P192" s="30"/>
    </row>
    <row r="193" spans="1:16" x14ac:dyDescent="0.25">
      <c r="A193" s="36"/>
      <c r="B193" s="36"/>
      <c r="C193" s="36" t="s">
        <v>318</v>
      </c>
      <c r="D193" s="56">
        <f>D190*12</f>
        <v>25.799999999999997</v>
      </c>
      <c r="E193" s="56">
        <f t="shared" ref="E193:O193" si="78">E190*12</f>
        <v>25.799999999999997</v>
      </c>
      <c r="F193" s="56">
        <f t="shared" si="78"/>
        <v>48.599999999999994</v>
      </c>
      <c r="G193" s="56">
        <f t="shared" si="78"/>
        <v>48.599999999999994</v>
      </c>
      <c r="H193" s="56">
        <f t="shared" si="78"/>
        <v>48.599999999999994</v>
      </c>
      <c r="I193" s="56">
        <f t="shared" si="78"/>
        <v>48.599999999999994</v>
      </c>
      <c r="J193" s="56">
        <f t="shared" si="78"/>
        <v>0</v>
      </c>
      <c r="K193" s="56">
        <f t="shared" si="78"/>
        <v>0</v>
      </c>
      <c r="L193" s="56">
        <f t="shared" si="78"/>
        <v>0</v>
      </c>
      <c r="M193" s="56">
        <f t="shared" si="78"/>
        <v>0</v>
      </c>
      <c r="N193" s="56">
        <f t="shared" si="78"/>
        <v>0</v>
      </c>
      <c r="O193" s="56">
        <f t="shared" si="78"/>
        <v>0</v>
      </c>
      <c r="P193" s="30"/>
    </row>
    <row r="194" spans="1:16" x14ac:dyDescent="0.25">
      <c r="A194" s="57"/>
      <c r="B194" s="57"/>
      <c r="C194" s="36" t="s">
        <v>319</v>
      </c>
      <c r="D194" s="56">
        <f>D187/(365.25/12)</f>
        <v>3.4743326488706368</v>
      </c>
      <c r="E194" s="56">
        <f t="shared" ref="E194:O194" si="79">E187/(365.25/12)</f>
        <v>3.4743326488706368</v>
      </c>
      <c r="F194" s="56">
        <f t="shared" si="79"/>
        <v>4.9938398357289531</v>
      </c>
      <c r="G194" s="56">
        <f t="shared" si="79"/>
        <v>4.9938398357289531</v>
      </c>
      <c r="H194" s="56">
        <f t="shared" si="79"/>
        <v>4.9938398357289531</v>
      </c>
      <c r="I194" s="56">
        <f t="shared" si="79"/>
        <v>4.9938398357289531</v>
      </c>
      <c r="J194" s="56">
        <f t="shared" si="79"/>
        <v>0</v>
      </c>
      <c r="K194" s="56">
        <f t="shared" si="79"/>
        <v>0</v>
      </c>
      <c r="L194" s="56">
        <f t="shared" si="79"/>
        <v>0</v>
      </c>
      <c r="M194" s="56">
        <f t="shared" si="79"/>
        <v>0</v>
      </c>
      <c r="N194" s="56">
        <f t="shared" si="79"/>
        <v>0</v>
      </c>
      <c r="O194" s="56">
        <f t="shared" si="79"/>
        <v>0</v>
      </c>
      <c r="P194" s="30"/>
    </row>
    <row r="195" spans="1:16" x14ac:dyDescent="0.25">
      <c r="A195" s="57"/>
      <c r="B195" s="57"/>
      <c r="C195" s="36" t="s">
        <v>320</v>
      </c>
      <c r="D195" s="56">
        <f>IF(D186=param_bovins!$A$101,param_bovins!$F$78*D194,IF(D186=param_bovins!$A$102,param_bovins!$F$79*D194,IF(D186=param_bovins!$A$103,param_bovins!$F$80*D194,IF(D186=param_bovins!$A$104,param_bovins!$F$81*D194,0))))</f>
        <v>2.0845995893223819</v>
      </c>
      <c r="E195" s="56">
        <f>IF(E186=param_bovins!$A$101,param_bovins!$F$78*E194,IF(E186=param_bovins!$A$102,param_bovins!$F$79*E194,IF(E186=param_bovins!$A$103,param_bovins!$F$80*E194,IF(E186=param_bovins!$A$104,param_bovins!$F$81*E194,0))))</f>
        <v>2.0845995893223819</v>
      </c>
      <c r="F195" s="56">
        <f>IF(F186=param_bovins!$A$101,param_bovins!$F$78*F194,IF(F186=param_bovins!$A$102,param_bovins!$F$79*F194,IF(F186=param_bovins!$A$103,param_bovins!$F$80*F194,IF(F186=param_bovins!$A$104,param_bovins!$F$81*F194,0))))</f>
        <v>4.2447638603696101</v>
      </c>
      <c r="G195" s="56">
        <f>IF(G186=param_bovins!$A$101,param_bovins!$F$78*G194,IF(G186=param_bovins!$A$102,param_bovins!$F$79*G194,IF(G186=param_bovins!$A$103,param_bovins!$F$80*G194,IF(G186=param_bovins!$A$104,param_bovins!$F$81*G194,0))))</f>
        <v>4.2447638603696101</v>
      </c>
      <c r="H195" s="56">
        <f>IF(H186=param_bovins!$A$101,param_bovins!$F$78*H194,IF(H186=param_bovins!$A$102,param_bovins!$F$79*H194,IF(H186=param_bovins!$A$103,param_bovins!$F$80*H194,IF(H186=param_bovins!$A$104,param_bovins!$F$81*H194,0))))</f>
        <v>4.2447638603696101</v>
      </c>
      <c r="I195" s="56">
        <f>IF(I186=param_bovins!$A$101,param_bovins!$F$78*I194,IF(I186=param_bovins!$A$102,param_bovins!$F$79*I194,IF(I186=param_bovins!$A$103,param_bovins!$F$80*I194,IF(I186=param_bovins!$A$104,param_bovins!$F$81*I194,0))))</f>
        <v>4.2447638603696101</v>
      </c>
      <c r="J195" s="56">
        <f>IF(J186=param_bovins!$A$101,param_bovins!$F$78*J194,IF(J186=param_bovins!$A$102,param_bovins!$F$79*J194,IF(J186=param_bovins!$A$103,param_bovins!$F$80*J194,IF(J186=param_bovins!$A$104,param_bovins!$F$81*J194,0))))</f>
        <v>0</v>
      </c>
      <c r="K195" s="56">
        <f>IF(K186=param_bovins!$A$101,param_bovins!$F$78*K194,IF(K186=param_bovins!$A$102,param_bovins!$F$79*K194,IF(K186=param_bovins!$A$103,param_bovins!$F$80*K194,IF(K186=param_bovins!$A$104,param_bovins!$F$81*K194,0))))</f>
        <v>0</v>
      </c>
      <c r="L195" s="56">
        <f>IF(L186=param_bovins!$A$101,param_bovins!$F$78*L194,IF(L186=param_bovins!$A$102,param_bovins!$F$79*L194,IF(L186=param_bovins!$A$103,param_bovins!$F$80*L194,IF(L186=param_bovins!$A$104,param_bovins!$F$81*L194,0))))</f>
        <v>0</v>
      </c>
      <c r="M195" s="56">
        <f>IF(M186=param_bovins!$A$101,param_bovins!$F$78*M194,IF(M186=param_bovins!$A$102,param_bovins!$F$79*M194,IF(M186=param_bovins!$A$103,param_bovins!$F$80*M194,IF(M186=param_bovins!$A$104,param_bovins!$F$81*M194,0))))</f>
        <v>0</v>
      </c>
      <c r="N195" s="56">
        <f>IF(N186=param_bovins!$A$101,param_bovins!$F$78*N194,IF(N186=param_bovins!$A$102,param_bovins!$F$79*N194,IF(N186=param_bovins!$A$103,param_bovins!$F$80*N194,IF(N186=param_bovins!$A$104,param_bovins!$F$81*N194,0))))</f>
        <v>0</v>
      </c>
      <c r="O195" s="56">
        <f>IF(O186=param_bovins!$A$101,param_bovins!$F$78*O194,IF(O186=param_bovins!$A$102,param_bovins!$F$79*O194,IF(O186=param_bovins!$A$103,param_bovins!$F$80*O194,IF(O186=param_bovins!$A$104,param_bovins!$F$81*O194,0))))</f>
        <v>0</v>
      </c>
      <c r="P195" s="30" t="s">
        <v>331</v>
      </c>
    </row>
    <row r="196" spans="1:16" x14ac:dyDescent="0.25">
      <c r="A196" s="12"/>
      <c r="B196" s="12"/>
      <c r="C196" s="42"/>
      <c r="D196" s="28"/>
      <c r="E196" s="28"/>
      <c r="F196" s="28"/>
      <c r="G196" s="28"/>
      <c r="H196" s="28"/>
      <c r="I196" s="28"/>
      <c r="J196" s="28"/>
      <c r="K196" s="28"/>
      <c r="L196" s="28"/>
      <c r="M196" s="28"/>
      <c r="N196" s="28"/>
      <c r="O196" s="28"/>
      <c r="P196" s="30"/>
    </row>
    <row r="197" spans="1:16" x14ac:dyDescent="0.25">
      <c r="A197" t="s">
        <v>321</v>
      </c>
      <c r="B197" s="33"/>
      <c r="C197" t="s">
        <v>322</v>
      </c>
      <c r="D197" s="28">
        <f>'Feuille saisie commune'!$E$8</f>
        <v>9</v>
      </c>
      <c r="E197" s="28">
        <f>'Feuille saisie commune'!$E$8</f>
        <v>9</v>
      </c>
      <c r="F197" s="28">
        <f>'Feuille saisie commune'!$E$8</f>
        <v>9</v>
      </c>
      <c r="G197" s="28">
        <f>'Feuille saisie commune'!$E$8</f>
        <v>9</v>
      </c>
      <c r="H197" s="28">
        <f>'Feuille saisie commune'!$E$8</f>
        <v>9</v>
      </c>
      <c r="I197" s="28">
        <f>'Feuille saisie commune'!$E$8</f>
        <v>9</v>
      </c>
      <c r="J197" s="28">
        <f>'Feuille saisie commune'!$E$8</f>
        <v>9</v>
      </c>
      <c r="K197" s="28">
        <f>'Feuille saisie commune'!$E$8</f>
        <v>9</v>
      </c>
      <c r="L197" s="28">
        <f>'Feuille saisie commune'!$E$8</f>
        <v>9</v>
      </c>
      <c r="M197" s="28">
        <f>'Feuille saisie commune'!$E$8</f>
        <v>9</v>
      </c>
      <c r="N197" s="28">
        <f>'Feuille saisie commune'!$E$8</f>
        <v>9</v>
      </c>
      <c r="O197" s="28">
        <f>'Feuille saisie commune'!$E$8</f>
        <v>9</v>
      </c>
      <c r="P197" s="30"/>
    </row>
    <row r="198" spans="1:16" x14ac:dyDescent="0.25">
      <c r="A198" s="33" t="s">
        <v>204</v>
      </c>
      <c r="B198" t="s">
        <v>288</v>
      </c>
      <c r="C198" s="33" t="s">
        <v>205</v>
      </c>
      <c r="D198" s="28">
        <f>'Saisie 2_bovins'!G17/(365.25/12)</f>
        <v>1.0020533880903491</v>
      </c>
      <c r="E198" s="28">
        <f>'Saisie 2_bovins'!H17/(365.25/12)</f>
        <v>1.0020533880903491</v>
      </c>
      <c r="F198" s="28">
        <f>'Saisie 2_bovins'!I17/(365.25/12)</f>
        <v>0</v>
      </c>
      <c r="G198" s="28">
        <f>'Saisie 2_bovins'!J17/(365.25/12)</f>
        <v>0</v>
      </c>
      <c r="H198" s="28">
        <f>'Saisie 2_bovins'!K17/(365.25/12)</f>
        <v>0</v>
      </c>
      <c r="I198" s="28">
        <f>'Saisie 2_bovins'!L17/(365.25/12)</f>
        <v>0</v>
      </c>
      <c r="J198" s="28">
        <f>'Saisie 2_bovins'!M17/(365.25/12)</f>
        <v>0</v>
      </c>
      <c r="K198" s="28">
        <f>'Saisie 2_bovins'!N17/(365.25/12)</f>
        <v>0</v>
      </c>
      <c r="L198" s="28">
        <f>'Saisie 2_bovins'!O17/(365.25/12)</f>
        <v>0</v>
      </c>
      <c r="M198" s="28">
        <f>'Saisie 2_bovins'!P17/(365.25/12)</f>
        <v>0</v>
      </c>
      <c r="N198" s="28">
        <f>'Saisie 2_bovins'!Q17/(365.25/12)</f>
        <v>0</v>
      </c>
      <c r="O198" s="28">
        <f>'Saisie 2_bovins'!R17/(365.25/12)</f>
        <v>0</v>
      </c>
      <c r="P198" s="30"/>
    </row>
    <row r="199" spans="1:16" x14ac:dyDescent="0.25">
      <c r="A199" s="33" t="s">
        <v>207</v>
      </c>
      <c r="B199" t="s">
        <v>332</v>
      </c>
      <c r="C199" t="s">
        <v>213</v>
      </c>
      <c r="D199" s="28">
        <f>D188*D$198*D$197</f>
        <v>20.291581108829568</v>
      </c>
      <c r="E199" s="28">
        <f t="shared" ref="E199:O199" si="80">E188*E$198*E$197</f>
        <v>20.291581108829568</v>
      </c>
      <c r="F199" s="28">
        <f t="shared" si="80"/>
        <v>0</v>
      </c>
      <c r="G199" s="28">
        <f t="shared" si="80"/>
        <v>0</v>
      </c>
      <c r="H199" s="28">
        <f t="shared" si="80"/>
        <v>0</v>
      </c>
      <c r="I199" s="28">
        <f t="shared" si="80"/>
        <v>0</v>
      </c>
      <c r="J199" s="28">
        <f t="shared" si="80"/>
        <v>0</v>
      </c>
      <c r="K199" s="28">
        <f t="shared" si="80"/>
        <v>0</v>
      </c>
      <c r="L199" s="28">
        <f t="shared" si="80"/>
        <v>0</v>
      </c>
      <c r="M199" s="28">
        <f t="shared" si="80"/>
        <v>0</v>
      </c>
      <c r="N199" s="28">
        <f t="shared" si="80"/>
        <v>0</v>
      </c>
      <c r="O199" s="28">
        <f t="shared" si="80"/>
        <v>0</v>
      </c>
      <c r="P199" s="30"/>
    </row>
    <row r="200" spans="1:16" x14ac:dyDescent="0.25">
      <c r="A200" s="33" t="s">
        <v>209</v>
      </c>
      <c r="B200" t="s">
        <v>333</v>
      </c>
      <c r="C200" t="s">
        <v>214</v>
      </c>
      <c r="D200" s="28">
        <f t="shared" ref="D200:O201" si="81">D189*D$198*D$197</f>
        <v>3.6524845995893225</v>
      </c>
      <c r="E200" s="28">
        <f t="shared" si="81"/>
        <v>3.6524845995893225</v>
      </c>
      <c r="F200" s="28">
        <f t="shared" si="81"/>
        <v>0</v>
      </c>
      <c r="G200" s="28">
        <f t="shared" si="81"/>
        <v>0</v>
      </c>
      <c r="H200" s="28">
        <f t="shared" si="81"/>
        <v>0</v>
      </c>
      <c r="I200" s="28">
        <f t="shared" si="81"/>
        <v>0</v>
      </c>
      <c r="J200" s="28">
        <f t="shared" si="81"/>
        <v>0</v>
      </c>
      <c r="K200" s="28">
        <f t="shared" si="81"/>
        <v>0</v>
      </c>
      <c r="L200" s="28">
        <f t="shared" si="81"/>
        <v>0</v>
      </c>
      <c r="M200" s="28">
        <f t="shared" si="81"/>
        <v>0</v>
      </c>
      <c r="N200" s="28">
        <f t="shared" si="81"/>
        <v>0</v>
      </c>
      <c r="O200" s="28">
        <f t="shared" si="81"/>
        <v>0</v>
      </c>
      <c r="P200" s="30"/>
    </row>
    <row r="201" spans="1:16" x14ac:dyDescent="0.25">
      <c r="A201" s="33" t="s">
        <v>208</v>
      </c>
      <c r="B201" t="s">
        <v>334</v>
      </c>
      <c r="C201" t="s">
        <v>215</v>
      </c>
      <c r="D201" s="28">
        <f>D190*D$198*D$197</f>
        <v>19.389733059548256</v>
      </c>
      <c r="E201" s="28">
        <f t="shared" si="81"/>
        <v>19.389733059548256</v>
      </c>
      <c r="F201" s="28">
        <f t="shared" si="81"/>
        <v>0</v>
      </c>
      <c r="G201" s="28">
        <f t="shared" si="81"/>
        <v>0</v>
      </c>
      <c r="H201" s="28">
        <f t="shared" si="81"/>
        <v>0</v>
      </c>
      <c r="I201" s="28">
        <f t="shared" si="81"/>
        <v>0</v>
      </c>
      <c r="J201" s="28">
        <f t="shared" si="81"/>
        <v>0</v>
      </c>
      <c r="K201" s="28">
        <f t="shared" si="81"/>
        <v>0</v>
      </c>
      <c r="L201" s="28">
        <f t="shared" si="81"/>
        <v>0</v>
      </c>
      <c r="M201" s="28">
        <f t="shared" si="81"/>
        <v>0</v>
      </c>
      <c r="N201" s="28">
        <f t="shared" si="81"/>
        <v>0</v>
      </c>
      <c r="O201" s="28">
        <f t="shared" si="81"/>
        <v>0</v>
      </c>
      <c r="P201" s="30"/>
    </row>
    <row r="202" spans="1:16" x14ac:dyDescent="0.25">
      <c r="D202" s="28"/>
      <c r="E202" s="28"/>
      <c r="F202" s="28"/>
      <c r="G202" s="28"/>
      <c r="H202" s="28"/>
      <c r="I202" s="28"/>
      <c r="J202" s="28"/>
      <c r="K202" s="28"/>
      <c r="L202" s="28"/>
      <c r="M202" s="28"/>
      <c r="N202" s="28"/>
      <c r="O202" s="28"/>
      <c r="P202" s="30"/>
    </row>
    <row r="203" spans="1:16" x14ac:dyDescent="0.25">
      <c r="A203" s="42" t="s">
        <v>265</v>
      </c>
      <c r="B203" s="42"/>
      <c r="C203" s="42" t="s">
        <v>335</v>
      </c>
      <c r="D203" s="28">
        <f>'Feuille saisie commune'!G8</f>
        <v>1.5</v>
      </c>
      <c r="E203" s="28"/>
      <c r="F203" s="28"/>
      <c r="G203" s="28"/>
      <c r="H203" s="28"/>
      <c r="I203" s="28"/>
      <c r="J203" s="28"/>
      <c r="K203" s="28"/>
      <c r="L203" s="28"/>
      <c r="M203" s="28"/>
      <c r="N203" s="28"/>
      <c r="O203" s="28"/>
      <c r="P203" s="30"/>
    </row>
    <row r="204" spans="1:16" x14ac:dyDescent="0.25">
      <c r="A204" s="33" t="s">
        <v>262</v>
      </c>
      <c r="B204" t="s">
        <v>336</v>
      </c>
      <c r="C204" s="47" t="s">
        <v>263</v>
      </c>
      <c r="D204" s="28">
        <f>$D$203*D197*D198*(365.25/12)</f>
        <v>411.75</v>
      </c>
      <c r="E204" s="28">
        <f t="shared" ref="E204:O204" si="82">$D$203*E197*E198*(365.25/12)</f>
        <v>411.75</v>
      </c>
      <c r="F204" s="28">
        <f t="shared" si="82"/>
        <v>0</v>
      </c>
      <c r="G204" s="28">
        <f t="shared" si="82"/>
        <v>0</v>
      </c>
      <c r="H204" s="28">
        <f t="shared" si="82"/>
        <v>0</v>
      </c>
      <c r="I204" s="28">
        <f t="shared" si="82"/>
        <v>0</v>
      </c>
      <c r="J204" s="28">
        <f t="shared" si="82"/>
        <v>0</v>
      </c>
      <c r="K204" s="28">
        <f t="shared" si="82"/>
        <v>0</v>
      </c>
      <c r="L204" s="28">
        <f t="shared" si="82"/>
        <v>0</v>
      </c>
      <c r="M204" s="28">
        <f t="shared" si="82"/>
        <v>0</v>
      </c>
      <c r="N204" s="28">
        <f t="shared" si="82"/>
        <v>0</v>
      </c>
      <c r="O204" s="28">
        <f t="shared" si="82"/>
        <v>0</v>
      </c>
      <c r="P204" s="30"/>
    </row>
    <row r="205" spans="1:16" x14ac:dyDescent="0.25">
      <c r="A205" s="33" t="s">
        <v>267</v>
      </c>
      <c r="B205" t="s">
        <v>270</v>
      </c>
      <c r="C205" t="s">
        <v>246</v>
      </c>
      <c r="D205" s="28">
        <f>D204*param_bovins!$D$160*param_bovins!$A$160/1000</f>
        <v>2.0291039999999998</v>
      </c>
      <c r="E205" s="28">
        <f>E204*param_bovins!$D$160*param_bovins!$A$160/1000</f>
        <v>2.0291039999999998</v>
      </c>
      <c r="F205" s="28">
        <f>F204*param_bovins!$D$160*param_bovins!$A$160/1000</f>
        <v>0</v>
      </c>
      <c r="G205" s="28">
        <f>G204*param_bovins!$D$160*param_bovins!$A$160/1000</f>
        <v>0</v>
      </c>
      <c r="H205" s="28">
        <f>H204*param_bovins!$D$160*param_bovins!$A$160/1000</f>
        <v>0</v>
      </c>
      <c r="I205" s="28">
        <f>I204*param_bovins!$D$160*param_bovins!$A$160/1000</f>
        <v>0</v>
      </c>
      <c r="J205" s="28">
        <f>J204*param_bovins!$D$160*param_bovins!$A$160/1000</f>
        <v>0</v>
      </c>
      <c r="K205" s="28">
        <f>K204*param_bovins!$D$160*param_bovins!$A$160/1000</f>
        <v>0</v>
      </c>
      <c r="L205" s="28">
        <f>L204*param_bovins!$D$160*param_bovins!$A$160/1000</f>
        <v>0</v>
      </c>
      <c r="M205" s="28">
        <f>M204*param_bovins!$D$160*param_bovins!$A$160/1000</f>
        <v>0</v>
      </c>
      <c r="N205" s="28">
        <f>N204*param_bovins!$D$160*param_bovins!$A$160/1000</f>
        <v>0</v>
      </c>
      <c r="O205" s="28">
        <f>O204*param_bovins!$D$160*param_bovins!$A$160/1000</f>
        <v>0</v>
      </c>
      <c r="P205" s="30"/>
    </row>
    <row r="206" spans="1:16" x14ac:dyDescent="0.25">
      <c r="A206" s="33" t="s">
        <v>268</v>
      </c>
      <c r="B206" s="33"/>
      <c r="C206" t="s">
        <v>249</v>
      </c>
      <c r="D206" s="28">
        <f>D204*param_bovins!$D$160*param_bovins!$B$160/1000</f>
        <v>0.36234</v>
      </c>
      <c r="E206" s="28">
        <f>E204*param_bovins!$D$160*param_bovins!$B$160/1000</f>
        <v>0.36234</v>
      </c>
      <c r="F206" s="28">
        <f>F204*param_bovins!$D$160*param_bovins!$B$160/1000</f>
        <v>0</v>
      </c>
      <c r="G206" s="28">
        <f>G204*param_bovins!$D$160*param_bovins!$B$160/1000</f>
        <v>0</v>
      </c>
      <c r="H206" s="28">
        <f>H204*param_bovins!$D$160*param_bovins!$B$160/1000</f>
        <v>0</v>
      </c>
      <c r="I206" s="28">
        <f>I204*param_bovins!$D$160*param_bovins!$B$160/1000</f>
        <v>0</v>
      </c>
      <c r="J206" s="28">
        <f>J204*param_bovins!$D$160*param_bovins!$B$160/1000</f>
        <v>0</v>
      </c>
      <c r="K206" s="28">
        <f>K204*param_bovins!$D$160*param_bovins!$B$160/1000</f>
        <v>0</v>
      </c>
      <c r="L206" s="28">
        <f>L204*param_bovins!$D$160*param_bovins!$B$160/1000</f>
        <v>0</v>
      </c>
      <c r="M206" s="28">
        <f>M204*param_bovins!$D$160*param_bovins!$B$160/1000</f>
        <v>0</v>
      </c>
      <c r="N206" s="28">
        <f>N204*param_bovins!$D$160*param_bovins!$B$160/1000</f>
        <v>0</v>
      </c>
      <c r="O206" s="28">
        <f>O204*param_bovins!$D$160*param_bovins!$B$160/1000</f>
        <v>0</v>
      </c>
      <c r="P206" s="30"/>
    </row>
    <row r="207" spans="1:16" x14ac:dyDescent="0.25">
      <c r="A207" s="33" t="s">
        <v>269</v>
      </c>
      <c r="B207" s="33"/>
      <c r="C207" t="s">
        <v>271</v>
      </c>
      <c r="D207" s="28">
        <f>D204*param_bovins!$D$160*param_bovins!$C$160/1000</f>
        <v>3.1130803440000006</v>
      </c>
      <c r="E207" s="28">
        <f>E204*param_bovins!$D$160*param_bovins!$C$160/1000</f>
        <v>3.1130803440000006</v>
      </c>
      <c r="F207" s="28">
        <f>F204*param_bovins!$D$160*param_bovins!$C$160/1000</f>
        <v>0</v>
      </c>
      <c r="G207" s="28">
        <f>G204*param_bovins!$D$160*param_bovins!$C$160/1000</f>
        <v>0</v>
      </c>
      <c r="H207" s="28">
        <f>H204*param_bovins!$D$160*param_bovins!$C$160/1000</f>
        <v>0</v>
      </c>
      <c r="I207" s="28">
        <f>I204*param_bovins!$D$160*param_bovins!$C$160/1000</f>
        <v>0</v>
      </c>
      <c r="J207" s="28">
        <f>J204*param_bovins!$D$160*param_bovins!$C$160/1000</f>
        <v>0</v>
      </c>
      <c r="K207" s="28">
        <f>K204*param_bovins!$D$160*param_bovins!$C$160/1000</f>
        <v>0</v>
      </c>
      <c r="L207" s="28">
        <f>L204*param_bovins!$D$160*param_bovins!$C$160/1000</f>
        <v>0</v>
      </c>
      <c r="M207" s="28">
        <f>M204*param_bovins!$D$160*param_bovins!$C$160/1000</f>
        <v>0</v>
      </c>
      <c r="N207" s="28">
        <f>N204*param_bovins!$D$160*param_bovins!$C$160/1000</f>
        <v>0</v>
      </c>
      <c r="O207" s="28">
        <f>O204*param_bovins!$D$160*param_bovins!$C$160/1000</f>
        <v>0</v>
      </c>
      <c r="P207" s="30"/>
    </row>
    <row r="208" spans="1:16" x14ac:dyDescent="0.25">
      <c r="A208" s="33"/>
      <c r="B208" s="33"/>
      <c r="D208" s="28"/>
      <c r="E208" s="28"/>
      <c r="F208" s="28"/>
      <c r="G208" s="28"/>
      <c r="H208" s="28"/>
      <c r="I208" s="28"/>
      <c r="J208" s="28"/>
      <c r="K208" s="28"/>
      <c r="L208" s="28"/>
      <c r="M208" s="28"/>
      <c r="N208" s="28"/>
      <c r="O208" s="28"/>
      <c r="P208" s="30"/>
    </row>
    <row r="209" spans="1:16" x14ac:dyDescent="0.25">
      <c r="A209" s="9" t="s">
        <v>5</v>
      </c>
      <c r="B209" s="9"/>
      <c r="C209" s="9"/>
      <c r="D209" s="28" t="str">
        <f>'Feuille saisie commune'!F8</f>
        <v>Litière accumulée intégrale</v>
      </c>
      <c r="E209" s="28"/>
      <c r="F209" s="28"/>
      <c r="G209" s="28"/>
      <c r="H209" s="28"/>
      <c r="I209" s="28"/>
      <c r="J209" s="28"/>
      <c r="K209" s="28"/>
      <c r="L209" s="28"/>
      <c r="M209" s="28"/>
      <c r="N209" s="28"/>
      <c r="O209" s="28"/>
      <c r="P209" s="30"/>
    </row>
    <row r="210" spans="1:16" x14ac:dyDescent="0.25">
      <c r="A210" s="9"/>
      <c r="B210" s="9"/>
      <c r="C210" s="9"/>
      <c r="D210" s="28"/>
      <c r="E210" s="28"/>
      <c r="F210" s="28"/>
      <c r="G210" s="28"/>
      <c r="H210" s="28"/>
      <c r="I210" s="28"/>
      <c r="J210" s="28"/>
      <c r="K210" s="28"/>
      <c r="L210" s="28"/>
      <c r="M210" s="28"/>
      <c r="N210" s="28"/>
      <c r="O210" s="28"/>
      <c r="P210" s="30"/>
    </row>
    <row r="211" spans="1:16" x14ac:dyDescent="0.25">
      <c r="A211" t="s">
        <v>242</v>
      </c>
      <c r="C211" t="s">
        <v>205</v>
      </c>
      <c r="D211" s="60">
        <f>IF(D209="Logette, lisier",param_bovins!B107,IF(D209="Etable entravée, lisier",param_bovins!B108,IF(D209="Litière accumulée, couloir lisier",param_bovins!B109,IF(D209="Logette, mixte lisier/fumier",param_bovins!B110,IF(D209="Etable entravée, fumier",param_bovins!B111,IF(D209="Pente paillée",param_bovins!B112,IF(D209="Logette, fumier",param_bovins!B113,IF(D209=param_bovins!A114,param_bovins!B114,IF(D209=param_bovins!A115,param_bovins!B115,#N/A)))))))))</f>
        <v>0</v>
      </c>
      <c r="E211" s="28"/>
      <c r="F211" s="28"/>
      <c r="G211" s="28"/>
      <c r="H211" s="28"/>
      <c r="I211" s="28"/>
      <c r="J211" s="28"/>
      <c r="K211" s="28"/>
      <c r="L211" s="28"/>
      <c r="M211" s="28"/>
      <c r="N211" s="28"/>
      <c r="O211" s="28"/>
      <c r="P211" s="30"/>
    </row>
    <row r="212" spans="1:16" x14ac:dyDescent="0.25">
      <c r="A212" t="s">
        <v>243</v>
      </c>
      <c r="C212" t="s">
        <v>205</v>
      </c>
      <c r="D212" s="60">
        <f>IF(D209="Logette, lisier",param_bovins!C107,IF(D209="Etable entravée, lisier",param_bovins!C108,IF(D209="Litière accumulée, couloir lisier",param_bovins!C109,IF(D209="Logette, mixte lisier/fumier",param_bovins!C110,IF(D209="Etable entravée, fumier",param_bovins!C111,IF(D209="Pente paillée",param_bovins!C112,IF(D209="Logette, fumier",param_bovins!C113,IF(D209=param_bovins!A114,param_bovins!C114,IF(D209=param_bovins!A115,param_bovins!C115,#N/A)))))))))</f>
        <v>1</v>
      </c>
      <c r="E212" s="28"/>
      <c r="F212" s="28"/>
      <c r="G212" s="28"/>
      <c r="H212" s="28"/>
      <c r="I212" s="28"/>
      <c r="J212" s="28"/>
      <c r="K212" s="28"/>
      <c r="L212" s="28"/>
      <c r="M212" s="28"/>
      <c r="N212" s="28"/>
      <c r="O212" s="28"/>
      <c r="P212" s="30"/>
    </row>
    <row r="213" spans="1:16" x14ac:dyDescent="0.25">
      <c r="A213" t="s">
        <v>244</v>
      </c>
      <c r="B213" s="33"/>
      <c r="C213" t="s">
        <v>205</v>
      </c>
      <c r="D213" s="60">
        <f>IF(D209="Logette, mixte lisier/fumier",param_bovins!D66,IF(D209="Etable entravée, fumier",param_bovins!D67,IF(D209="Pente paillée",param_bovins!D68,IF(D209="Logette, fumier",param_bovins!D69,IF(D209=param_bovins!A70,param_bovins!D70,0)))))</f>
        <v>0</v>
      </c>
      <c r="E213" s="28"/>
      <c r="F213" s="28"/>
      <c r="G213" s="28"/>
      <c r="H213" s="28"/>
      <c r="I213" s="28"/>
      <c r="J213" s="28"/>
      <c r="K213" s="28"/>
      <c r="L213" s="28"/>
      <c r="M213" s="28"/>
      <c r="N213" s="28"/>
      <c r="O213" s="28"/>
      <c r="P213" s="30"/>
    </row>
    <row r="214" spans="1:16" x14ac:dyDescent="0.25">
      <c r="A214" s="9" t="s">
        <v>294</v>
      </c>
      <c r="B214" s="9"/>
      <c r="C214" s="9" t="s">
        <v>50</v>
      </c>
      <c r="D214" s="61">
        <f>IF(D209=param_bovins!A109,param_bovins!F109,IF(D209=param_bovins!A110,param_bovins!F110,IF(D209=param_bovins!A111,param_bovins!F111,IF(D209=param_bovins!A112,param_bovins!F112,IF(D209=param_bovins!A113,param_bovins!F113,IF(D209=param_bovins!A114,param_bovins!F114,IF(D209=param_bovins!A115,param_bovins!F115,0)))))))</f>
        <v>0.6</v>
      </c>
      <c r="E214" s="28"/>
      <c r="F214" s="28"/>
      <c r="G214" s="28"/>
      <c r="H214" s="28"/>
      <c r="I214" s="28"/>
      <c r="J214" s="28"/>
      <c r="K214" s="28"/>
      <c r="L214" s="28"/>
      <c r="M214" s="28"/>
      <c r="N214" s="28"/>
      <c r="O214" s="28"/>
      <c r="P214" s="30"/>
    </row>
    <row r="215" spans="1:16" x14ac:dyDescent="0.25">
      <c r="A215" t="s">
        <v>152</v>
      </c>
      <c r="B215" s="33"/>
      <c r="C215" t="s">
        <v>732</v>
      </c>
      <c r="D215" s="61">
        <f>IF(D209="Logette, lisier",param_bovins!G107,IF(D209="Etable entravée, lisier",param_bovins!G108,IF(D209="Litière accumulée, couloir lisier",param_bovins!G109,IF(D209="Logette, mixte lisier/fumier",param_bovins!G110,IF(D209="Etable entravée, fumier",param_bovins!G111,IF(D209="Pente paillée",param_bovins!G112,IF(D209="Logette, fumier",param_bovins!G113,IF(D209=param_bovins!A114,param_bovins!G114,IF(D209=param_bovins!A115,param_bovins!G115,#N/A)))))))))</f>
        <v>13.5</v>
      </c>
      <c r="E215" s="28"/>
      <c r="F215" s="28"/>
      <c r="G215" s="28"/>
      <c r="H215" s="28"/>
      <c r="I215" s="28"/>
      <c r="J215" s="28"/>
      <c r="K215" s="28"/>
      <c r="L215" s="28"/>
      <c r="M215" s="28"/>
      <c r="N215" s="28"/>
      <c r="O215" s="28"/>
      <c r="P215" s="30"/>
    </row>
    <row r="216" spans="1:16" x14ac:dyDescent="0.25">
      <c r="A216" s="33" t="s">
        <v>734</v>
      </c>
      <c r="B216" s="33"/>
      <c r="C216" t="s">
        <v>205</v>
      </c>
      <c r="D216" s="237">
        <f>IF(D209="Logette, mixte lisier/fumier",IF('Saisie 2_bovins'!C44="couverte", param_bovins!H66, param_bovins!I66), IF(D209="Etable entravée, fumier",IF('Saisie 2_bovins'!C44="couverte",param_bovins!H67,param_bovins!I67),IF(D209="Pente paillée",IF('Saisie 2_bovins'!C44="couverte",param_bovins!H68,param_bovins!I68),IF(D209="Logette, fumier",IF('Saisie 2_bovins'!C44="couverte",param_bovins!H69, param_bovins!I69),IF(D209=param_bovins!A70,IF('Saisie 2_bovins'!C44="couverte",param_bovins!H70,param_bovins!I70),IF(D209=param_bovins!A71,IF('Saisie 2_bovins'!C44="couverte",param_bovins!H71,param_bovins!I71),IF(D209=param_bovins!A65,IF('Saisie 2_bovins'!C44="couverte",param_bovins!H65,param_bovins!I65),0)))))))</f>
        <v>0.01</v>
      </c>
      <c r="E216" s="28"/>
      <c r="F216" s="28"/>
      <c r="G216" s="28"/>
      <c r="H216" s="28"/>
      <c r="I216" s="28"/>
      <c r="J216" s="28"/>
      <c r="K216" s="28"/>
      <c r="L216" s="28"/>
      <c r="M216" s="28"/>
      <c r="N216" s="28"/>
      <c r="O216" s="28"/>
      <c r="P216" s="30"/>
    </row>
    <row r="217" spans="1:16" x14ac:dyDescent="0.25">
      <c r="A217" s="33" t="s">
        <v>735</v>
      </c>
      <c r="B217" s="33"/>
      <c r="C217" t="s">
        <v>205</v>
      </c>
      <c r="D217" s="238">
        <f>IF(D209="Logette, mixte lisier/fumier",IF('Saisie 2_bovins'!C44="couverte", param_bovins!J66, param_bovins!K66), IF(D209="Etable entravée, fumier",IF('Saisie 2_bovins'!C44="couverte",param_bovins!J67,param_bovins!K67),IF(D209="Pente paillée",IF('Saisie 2_bovins'!C44="couverte",param_bovins!J68,param_bovins!K68),IF(D209="Logette, fumier",IF('Saisie 2_bovins'!C44="couverte",param_bovins!J69, param_bovins!K69),IF(D209=param_bovins!A70,IF('Saisie 2_bovins'!C44="couverte",param_bovins!J70,param_bovins!K70),IF(D209=param_bovins!A71,IF('Saisie 2_bovins'!C44="couverte",param_bovins!J71,param_bovins!K71),IF(D209=param_bovins!A65,IF('Saisie 2_bovins'!C44="couverte",param_bovins!J65,param_bovins!K65),0)))))))</f>
        <v>9.0000000000000011E-3</v>
      </c>
      <c r="E217" s="28"/>
      <c r="F217" s="28"/>
      <c r="G217" s="28"/>
      <c r="H217" s="28"/>
      <c r="I217" s="28"/>
      <c r="J217" s="28"/>
      <c r="K217" s="28"/>
      <c r="L217" s="28"/>
      <c r="M217" s="28"/>
      <c r="N217" s="28"/>
      <c r="O217" s="28"/>
      <c r="P217" s="30"/>
    </row>
    <row r="218" spans="1:16" x14ac:dyDescent="0.25">
      <c r="A218" s="33" t="s">
        <v>736</v>
      </c>
      <c r="B218" s="33"/>
      <c r="C218" t="s">
        <v>205</v>
      </c>
      <c r="D218" s="238">
        <f>IF(D209="Logette, mixte lisier/fumier",IF('Saisie 2_bovins'!C44="couverte", param_bovins!L66, param_bovins!M66), IF(D209="Etable entravée, fumier",IF('Saisie 2_bovins'!C44="couverte",param_bovins!L67,param_bovins!M67),IF(D209="Pente paillée",IF('Saisie 2_bovins'!C44="couverte",param_bovins!L68,param_bovins!M68),IF(D209="Logette, fumier",IF('Saisie 2_bovins'!C44="couverte",param_bovins!L69, param_bovins!M69),IF(D209=param_bovins!A70,IF('Saisie 2_bovins'!C44="couverte",param_bovins!L70,param_bovins!M70),IF(Calculs_bovins!D209=param_bovins!A71,IF('Saisie 2_bovins'!C44="couverte",param_bovins!L71,param_bovins!M71),IF(D209=param_bovins!A65,IF('Saisie 2_bovins'!C44="couverte",param_bovins!L65,param_bovins!M65),0)))))))</f>
        <v>1.0999999999999999E-2</v>
      </c>
      <c r="E218" s="28"/>
      <c r="F218" s="28"/>
      <c r="G218" s="28"/>
      <c r="H218" s="28"/>
      <c r="I218" s="28"/>
      <c r="J218" s="28"/>
      <c r="K218" s="28"/>
      <c r="L218" s="28"/>
      <c r="M218" s="28"/>
      <c r="N218" s="28"/>
      <c r="O218" s="28"/>
      <c r="P218" s="30"/>
    </row>
    <row r="219" spans="1:16" x14ac:dyDescent="0.25">
      <c r="A219" t="s">
        <v>782</v>
      </c>
      <c r="B219" s="33"/>
      <c r="C219" t="s">
        <v>783</v>
      </c>
      <c r="D219" s="94">
        <f>IF(D209=param_bovins!A109,param_bovins!N109,IF(D209=param_bovins!A110,param_bovins!N110,IF(D209=param_bovins!A111,param_bovins!N111,IF(D209=param_bovins!A112,param_bovins!N112,IF(D209=param_bovins!A113,param_bovins!N113,IF(D209=param_bovins!A114,param_bovins!N114,IF(D209=param_bovins!A115,param_bovins!N115,0)))))))</f>
        <v>22.1</v>
      </c>
      <c r="E219" s="28"/>
      <c r="F219" s="28"/>
      <c r="G219" s="28"/>
      <c r="H219" s="28"/>
      <c r="I219" s="28"/>
      <c r="J219" s="28"/>
      <c r="K219" s="28"/>
      <c r="L219" s="28"/>
      <c r="M219" s="28"/>
      <c r="N219" s="28"/>
      <c r="O219" s="28"/>
      <c r="P219" s="30"/>
    </row>
    <row r="220" spans="1:16" x14ac:dyDescent="0.25">
      <c r="B220" s="33"/>
      <c r="C220" s="33"/>
      <c r="D220" s="28"/>
      <c r="E220" s="28"/>
      <c r="F220" s="28"/>
      <c r="G220" s="28"/>
      <c r="H220" s="28"/>
      <c r="I220" s="28"/>
      <c r="J220" s="28"/>
      <c r="K220" s="28"/>
      <c r="L220" s="28"/>
      <c r="M220" s="28"/>
      <c r="N220" s="28"/>
      <c r="O220" s="28"/>
      <c r="P220" s="30"/>
    </row>
    <row r="221" spans="1:16" x14ac:dyDescent="0.25">
      <c r="A221" t="s">
        <v>220</v>
      </c>
      <c r="B221" s="33" t="s">
        <v>227</v>
      </c>
      <c r="C221" t="s">
        <v>337</v>
      </c>
      <c r="D221" s="60">
        <f>D211*param_bovins!D7</f>
        <v>0</v>
      </c>
      <c r="E221" s="28"/>
      <c r="F221" s="28"/>
      <c r="G221" s="28"/>
      <c r="H221" s="28"/>
      <c r="I221" s="28"/>
      <c r="J221" s="28"/>
      <c r="K221" s="28"/>
      <c r="L221" s="28"/>
      <c r="M221" s="28"/>
      <c r="N221" s="28"/>
      <c r="O221" s="28"/>
      <c r="P221" s="30"/>
    </row>
    <row r="222" spans="1:16" x14ac:dyDescent="0.25">
      <c r="A222" t="s">
        <v>221</v>
      </c>
      <c r="B222" t="s">
        <v>226</v>
      </c>
      <c r="C222" t="s">
        <v>337</v>
      </c>
      <c r="D222" s="60">
        <f>IF( D214&lt;=0,0,D212*param_bovins!B7*D215/D214)</f>
        <v>6.75</v>
      </c>
      <c r="E222" s="28"/>
      <c r="F222" s="28"/>
      <c r="G222" s="39">
        <f>D222*D214</f>
        <v>4.05</v>
      </c>
      <c r="H222" s="39" t="s">
        <v>303</v>
      </c>
      <c r="I222" s="28"/>
      <c r="J222" s="28"/>
      <c r="K222" s="28"/>
      <c r="L222" s="28"/>
      <c r="M222" s="28"/>
      <c r="N222" s="28"/>
      <c r="O222" s="28"/>
      <c r="P222" s="30"/>
    </row>
    <row r="223" spans="1:16" x14ac:dyDescent="0.25">
      <c r="A223" t="s">
        <v>222</v>
      </c>
      <c r="B223" t="s">
        <v>228</v>
      </c>
      <c r="C223" t="s">
        <v>337</v>
      </c>
      <c r="D223" s="60">
        <f>D222*D213</f>
        <v>0</v>
      </c>
      <c r="E223" s="28"/>
      <c r="F223" s="28"/>
      <c r="G223" s="28"/>
      <c r="H223" s="28"/>
      <c r="I223" s="28"/>
      <c r="J223" s="28"/>
      <c r="K223" s="28"/>
      <c r="L223" s="28"/>
      <c r="M223" s="28"/>
      <c r="N223" s="28"/>
      <c r="O223" s="28"/>
      <c r="P223" s="30"/>
    </row>
    <row r="224" spans="1:16" x14ac:dyDescent="0.25">
      <c r="D224" s="28"/>
      <c r="E224" s="28"/>
      <c r="F224" s="28"/>
      <c r="G224" s="28"/>
      <c r="H224" s="28"/>
      <c r="I224" s="28"/>
      <c r="J224" s="28"/>
      <c r="K224" s="28"/>
      <c r="L224" s="28"/>
      <c r="M224" s="28"/>
      <c r="N224" s="28"/>
      <c r="O224" s="28"/>
      <c r="P224" s="30"/>
    </row>
    <row r="225" spans="1:16" x14ac:dyDescent="0.25">
      <c r="A225" t="s">
        <v>338</v>
      </c>
      <c r="B225" t="s">
        <v>339</v>
      </c>
      <c r="C225" t="s">
        <v>205</v>
      </c>
      <c r="D225" s="28">
        <f>param_bovins!$B$120</f>
        <v>0.7</v>
      </c>
      <c r="E225" s="28">
        <f>param_bovins!$B$120</f>
        <v>0.7</v>
      </c>
      <c r="F225" s="28">
        <f>param_bovins!$B$120</f>
        <v>0.7</v>
      </c>
      <c r="G225" s="28">
        <f>param_bovins!$B$120</f>
        <v>0.7</v>
      </c>
      <c r="H225" s="28">
        <f>param_bovins!$B$120</f>
        <v>0.7</v>
      </c>
      <c r="I225" s="28">
        <f>param_bovins!$B$120</f>
        <v>0.7</v>
      </c>
      <c r="J225" s="28">
        <f>param_bovins!$B$120</f>
        <v>0.7</v>
      </c>
      <c r="K225" s="28">
        <f>param_bovins!$B$120</f>
        <v>0.7</v>
      </c>
      <c r="L225" s="28">
        <f>param_bovins!$B$120</f>
        <v>0.7</v>
      </c>
      <c r="M225" s="28">
        <f>param_bovins!$B$120</f>
        <v>0.7</v>
      </c>
      <c r="N225" s="28">
        <f>param_bovins!$B$120</f>
        <v>0.7</v>
      </c>
      <c r="O225" s="28">
        <f>param_bovins!$B$120</f>
        <v>0.7</v>
      </c>
      <c r="P225" s="30"/>
    </row>
    <row r="226" spans="1:16" x14ac:dyDescent="0.25">
      <c r="D226" s="28"/>
      <c r="E226" s="28"/>
      <c r="F226" s="28"/>
      <c r="G226" s="28"/>
      <c r="H226" s="28"/>
      <c r="I226" s="28"/>
      <c r="J226" s="28"/>
      <c r="K226" s="28"/>
      <c r="L226" s="28"/>
      <c r="M226" s="28"/>
      <c r="N226" s="28"/>
      <c r="O226" s="28"/>
      <c r="P226" s="30"/>
    </row>
    <row r="227" spans="1:16" x14ac:dyDescent="0.25">
      <c r="A227" s="33" t="s">
        <v>210</v>
      </c>
      <c r="B227" s="33" t="s">
        <v>340</v>
      </c>
      <c r="C227" t="s">
        <v>341</v>
      </c>
      <c r="D227" s="60">
        <f>$D$221*D225/12</f>
        <v>0</v>
      </c>
      <c r="E227" s="60">
        <f t="shared" ref="E227:O227" si="83">$D$221*E225/12</f>
        <v>0</v>
      </c>
      <c r="F227" s="60">
        <f t="shared" si="83"/>
        <v>0</v>
      </c>
      <c r="G227" s="60">
        <f t="shared" si="83"/>
        <v>0</v>
      </c>
      <c r="H227" s="60">
        <f t="shared" si="83"/>
        <v>0</v>
      </c>
      <c r="I227" s="60">
        <f t="shared" si="83"/>
        <v>0</v>
      </c>
      <c r="J227" s="60">
        <f t="shared" si="83"/>
        <v>0</v>
      </c>
      <c r="K227" s="60">
        <f t="shared" si="83"/>
        <v>0</v>
      </c>
      <c r="L227" s="60">
        <f t="shared" si="83"/>
        <v>0</v>
      </c>
      <c r="M227" s="60">
        <f t="shared" si="83"/>
        <v>0</v>
      </c>
      <c r="N227" s="60">
        <f t="shared" si="83"/>
        <v>0</v>
      </c>
      <c r="O227" s="60">
        <f t="shared" si="83"/>
        <v>0</v>
      </c>
      <c r="P227" s="30"/>
    </row>
    <row r="228" spans="1:16" x14ac:dyDescent="0.25">
      <c r="A228" s="33" t="s">
        <v>211</v>
      </c>
      <c r="B228" s="33" t="s">
        <v>340</v>
      </c>
      <c r="C228" t="s">
        <v>341</v>
      </c>
      <c r="D228" s="60">
        <f>$D$222*D225/12</f>
        <v>0.39374999999999999</v>
      </c>
      <c r="E228" s="60">
        <f t="shared" ref="E228:O228" si="84">$D$222*E225/12</f>
        <v>0.39374999999999999</v>
      </c>
      <c r="F228" s="60">
        <f t="shared" si="84"/>
        <v>0.39374999999999999</v>
      </c>
      <c r="G228" s="60">
        <f t="shared" si="84"/>
        <v>0.39374999999999999</v>
      </c>
      <c r="H228" s="60">
        <f t="shared" si="84"/>
        <v>0.39374999999999999</v>
      </c>
      <c r="I228" s="60">
        <f t="shared" si="84"/>
        <v>0.39374999999999999</v>
      </c>
      <c r="J228" s="60">
        <f t="shared" si="84"/>
        <v>0.39374999999999999</v>
      </c>
      <c r="K228" s="60">
        <f t="shared" si="84"/>
        <v>0.39374999999999999</v>
      </c>
      <c r="L228" s="60">
        <f t="shared" si="84"/>
        <v>0.39374999999999999</v>
      </c>
      <c r="M228" s="60">
        <f t="shared" si="84"/>
        <v>0.39374999999999999</v>
      </c>
      <c r="N228" s="60">
        <f t="shared" si="84"/>
        <v>0.39374999999999999</v>
      </c>
      <c r="O228" s="60">
        <f t="shared" si="84"/>
        <v>0.39374999999999999</v>
      </c>
      <c r="P228" s="30"/>
    </row>
    <row r="229" spans="1:16" x14ac:dyDescent="0.25">
      <c r="A229" s="33" t="s">
        <v>212</v>
      </c>
      <c r="B229" t="s">
        <v>357</v>
      </c>
      <c r="C229" t="s">
        <v>341</v>
      </c>
      <c r="D229" s="60">
        <f>$D$223/12*D225</f>
        <v>0</v>
      </c>
      <c r="E229" s="60">
        <f t="shared" ref="E229:O229" si="85">$D$223/12*E225</f>
        <v>0</v>
      </c>
      <c r="F229" s="60">
        <f t="shared" si="85"/>
        <v>0</v>
      </c>
      <c r="G229" s="60">
        <f t="shared" si="85"/>
        <v>0</v>
      </c>
      <c r="H229" s="60">
        <f t="shared" si="85"/>
        <v>0</v>
      </c>
      <c r="I229" s="60">
        <f t="shared" si="85"/>
        <v>0</v>
      </c>
      <c r="J229" s="60">
        <f t="shared" si="85"/>
        <v>0</v>
      </c>
      <c r="K229" s="60">
        <f t="shared" si="85"/>
        <v>0</v>
      </c>
      <c r="L229" s="60">
        <f t="shared" si="85"/>
        <v>0</v>
      </c>
      <c r="M229" s="60">
        <f t="shared" si="85"/>
        <v>0</v>
      </c>
      <c r="N229" s="60">
        <f t="shared" si="85"/>
        <v>0</v>
      </c>
      <c r="O229" s="60">
        <f t="shared" si="85"/>
        <v>0</v>
      </c>
      <c r="P229" s="30"/>
    </row>
    <row r="230" spans="1:16" x14ac:dyDescent="0.25">
      <c r="A230" s="9" t="s">
        <v>152</v>
      </c>
      <c r="B230" s="9"/>
      <c r="C230" s="9" t="s">
        <v>342</v>
      </c>
      <c r="D230" s="60">
        <f>D228*$D$214</f>
        <v>0.23624999999999999</v>
      </c>
      <c r="E230" s="60">
        <f t="shared" ref="E230:O230" si="86">E228*$D$214</f>
        <v>0.23624999999999999</v>
      </c>
      <c r="F230" s="60">
        <f t="shared" si="86"/>
        <v>0.23624999999999999</v>
      </c>
      <c r="G230" s="60">
        <f t="shared" si="86"/>
        <v>0.23624999999999999</v>
      </c>
      <c r="H230" s="60">
        <f t="shared" si="86"/>
        <v>0.23624999999999999</v>
      </c>
      <c r="I230" s="60">
        <f t="shared" si="86"/>
        <v>0.23624999999999999</v>
      </c>
      <c r="J230" s="60">
        <f t="shared" si="86"/>
        <v>0.23624999999999999</v>
      </c>
      <c r="K230" s="60">
        <f t="shared" si="86"/>
        <v>0.23624999999999999</v>
      </c>
      <c r="L230" s="60">
        <f t="shared" si="86"/>
        <v>0.23624999999999999</v>
      </c>
      <c r="M230" s="60">
        <f t="shared" si="86"/>
        <v>0.23624999999999999</v>
      </c>
      <c r="N230" s="60">
        <f t="shared" si="86"/>
        <v>0.23624999999999999</v>
      </c>
      <c r="O230" s="60">
        <f t="shared" si="86"/>
        <v>0.23624999999999999</v>
      </c>
      <c r="P230" s="30"/>
    </row>
    <row r="231" spans="1:16" x14ac:dyDescent="0.25">
      <c r="A231" s="33"/>
      <c r="B231" s="33"/>
      <c r="C231" s="33"/>
      <c r="D231" s="28"/>
      <c r="E231" s="28"/>
      <c r="F231" s="28"/>
      <c r="G231" s="28"/>
      <c r="H231" s="28"/>
      <c r="I231" s="28"/>
      <c r="J231" s="28"/>
      <c r="K231" s="28"/>
      <c r="L231" s="28"/>
      <c r="M231" s="28"/>
      <c r="N231" s="28"/>
      <c r="O231" s="28"/>
      <c r="P231" s="30"/>
    </row>
    <row r="232" spans="1:16" x14ac:dyDescent="0.25">
      <c r="A232" t="s">
        <v>210</v>
      </c>
      <c r="B232" t="s">
        <v>343</v>
      </c>
      <c r="C232" t="s">
        <v>229</v>
      </c>
      <c r="D232" s="60">
        <f>D227*D197*D198</f>
        <v>0</v>
      </c>
      <c r="E232" s="60">
        <f t="shared" ref="E232:O232" si="87">E227*E197*E198</f>
        <v>0</v>
      </c>
      <c r="F232" s="60">
        <f t="shared" si="87"/>
        <v>0</v>
      </c>
      <c r="G232" s="60">
        <f t="shared" si="87"/>
        <v>0</v>
      </c>
      <c r="H232" s="60">
        <f t="shared" si="87"/>
        <v>0</v>
      </c>
      <c r="I232" s="60">
        <f t="shared" si="87"/>
        <v>0</v>
      </c>
      <c r="J232" s="60">
        <f t="shared" si="87"/>
        <v>0</v>
      </c>
      <c r="K232" s="60">
        <f t="shared" si="87"/>
        <v>0</v>
      </c>
      <c r="L232" s="60">
        <f t="shared" si="87"/>
        <v>0</v>
      </c>
      <c r="M232" s="60">
        <f t="shared" si="87"/>
        <v>0</v>
      </c>
      <c r="N232" s="60">
        <f t="shared" si="87"/>
        <v>0</v>
      </c>
      <c r="O232" s="60">
        <f t="shared" si="87"/>
        <v>0</v>
      </c>
      <c r="P232" s="30"/>
    </row>
    <row r="233" spans="1:16" x14ac:dyDescent="0.25">
      <c r="A233" t="s">
        <v>211</v>
      </c>
      <c r="B233" t="s">
        <v>343</v>
      </c>
      <c r="C233" t="s">
        <v>229</v>
      </c>
      <c r="D233" s="60">
        <f>D228*D198*D197</f>
        <v>3.5510266940451745</v>
      </c>
      <c r="E233" s="60">
        <f t="shared" ref="E233:O233" si="88">E228*E198*E197</f>
        <v>3.5510266940451745</v>
      </c>
      <c r="F233" s="60">
        <f t="shared" si="88"/>
        <v>0</v>
      </c>
      <c r="G233" s="60">
        <f t="shared" si="88"/>
        <v>0</v>
      </c>
      <c r="H233" s="60">
        <f t="shared" si="88"/>
        <v>0</v>
      </c>
      <c r="I233" s="60">
        <f t="shared" si="88"/>
        <v>0</v>
      </c>
      <c r="J233" s="60">
        <f t="shared" si="88"/>
        <v>0</v>
      </c>
      <c r="K233" s="60">
        <f t="shared" si="88"/>
        <v>0</v>
      </c>
      <c r="L233" s="60">
        <f t="shared" si="88"/>
        <v>0</v>
      </c>
      <c r="M233" s="60">
        <f t="shared" si="88"/>
        <v>0</v>
      </c>
      <c r="N233" s="60">
        <f t="shared" si="88"/>
        <v>0</v>
      </c>
      <c r="O233" s="60">
        <f t="shared" si="88"/>
        <v>0</v>
      </c>
      <c r="P233" s="30"/>
    </row>
    <row r="234" spans="1:16" x14ac:dyDescent="0.25">
      <c r="A234" t="s">
        <v>212</v>
      </c>
      <c r="B234" t="s">
        <v>343</v>
      </c>
      <c r="C234" t="s">
        <v>229</v>
      </c>
      <c r="D234" s="60">
        <f>D229*D198*D197</f>
        <v>0</v>
      </c>
      <c r="E234" s="60">
        <f t="shared" ref="E234:O234" si="89">E229*E198*E197</f>
        <v>0</v>
      </c>
      <c r="F234" s="60">
        <f t="shared" si="89"/>
        <v>0</v>
      </c>
      <c r="G234" s="60">
        <f t="shared" si="89"/>
        <v>0</v>
      </c>
      <c r="H234" s="60">
        <f t="shared" si="89"/>
        <v>0</v>
      </c>
      <c r="I234" s="60">
        <f t="shared" si="89"/>
        <v>0</v>
      </c>
      <c r="J234" s="60">
        <f t="shared" si="89"/>
        <v>0</v>
      </c>
      <c r="K234" s="60">
        <f t="shared" si="89"/>
        <v>0</v>
      </c>
      <c r="L234" s="60">
        <f t="shared" si="89"/>
        <v>0</v>
      </c>
      <c r="M234" s="60">
        <f t="shared" si="89"/>
        <v>0</v>
      </c>
      <c r="N234" s="60">
        <f t="shared" si="89"/>
        <v>0</v>
      </c>
      <c r="O234" s="60">
        <f t="shared" si="89"/>
        <v>0</v>
      </c>
      <c r="P234" s="30"/>
    </row>
    <row r="235" spans="1:16" x14ac:dyDescent="0.25">
      <c r="D235" s="28"/>
      <c r="E235" s="28"/>
      <c r="F235" s="28"/>
      <c r="G235" s="28"/>
      <c r="H235" s="28"/>
      <c r="I235" s="28"/>
      <c r="J235" s="28"/>
      <c r="K235" s="28"/>
      <c r="L235" s="28"/>
      <c r="M235" s="28"/>
      <c r="N235" s="28"/>
      <c r="O235" s="28"/>
      <c r="P235" s="30"/>
    </row>
    <row r="236" spans="1:16" x14ac:dyDescent="0.25">
      <c r="A236" s="44" t="s">
        <v>237</v>
      </c>
      <c r="B236" s="44" t="s">
        <v>344</v>
      </c>
      <c r="C236" s="44" t="s">
        <v>239</v>
      </c>
      <c r="D236" s="46">
        <f>D230*D198*D197</f>
        <v>2.1306160164271044</v>
      </c>
      <c r="E236" s="46">
        <f t="shared" ref="E236:O236" si="90">E230*E198*E197</f>
        <v>2.1306160164271044</v>
      </c>
      <c r="F236" s="46">
        <f t="shared" si="90"/>
        <v>0</v>
      </c>
      <c r="G236" s="46">
        <f t="shared" si="90"/>
        <v>0</v>
      </c>
      <c r="H236" s="46">
        <f t="shared" si="90"/>
        <v>0</v>
      </c>
      <c r="I236" s="46">
        <f t="shared" si="90"/>
        <v>0</v>
      </c>
      <c r="J236" s="46">
        <f t="shared" si="90"/>
        <v>0</v>
      </c>
      <c r="K236" s="46">
        <f t="shared" si="90"/>
        <v>0</v>
      </c>
      <c r="L236" s="46">
        <f t="shared" si="90"/>
        <v>0</v>
      </c>
      <c r="M236" s="46">
        <f t="shared" si="90"/>
        <v>0</v>
      </c>
      <c r="N236" s="46">
        <f t="shared" si="90"/>
        <v>0</v>
      </c>
      <c r="O236" s="46">
        <f t="shared" si="90"/>
        <v>0</v>
      </c>
      <c r="P236" s="30"/>
    </row>
    <row r="237" spans="1:16" x14ac:dyDescent="0.25">
      <c r="A237" s="44" t="s">
        <v>245</v>
      </c>
      <c r="B237" s="44"/>
      <c r="C237" s="44" t="s">
        <v>229</v>
      </c>
      <c r="D237" s="46">
        <f>D234+D232</f>
        <v>0</v>
      </c>
      <c r="E237" s="46">
        <f t="shared" ref="E237:O237" si="91">E234+E232</f>
        <v>0</v>
      </c>
      <c r="F237" s="46">
        <f t="shared" si="91"/>
        <v>0</v>
      </c>
      <c r="G237" s="46">
        <f t="shared" si="91"/>
        <v>0</v>
      </c>
      <c r="H237" s="46">
        <f t="shared" si="91"/>
        <v>0</v>
      </c>
      <c r="I237" s="46">
        <f t="shared" si="91"/>
        <v>0</v>
      </c>
      <c r="J237" s="46">
        <f t="shared" si="91"/>
        <v>0</v>
      </c>
      <c r="K237" s="46">
        <f t="shared" si="91"/>
        <v>0</v>
      </c>
      <c r="L237" s="46">
        <f t="shared" si="91"/>
        <v>0</v>
      </c>
      <c r="M237" s="46">
        <f t="shared" si="91"/>
        <v>0</v>
      </c>
      <c r="N237" s="46">
        <f t="shared" si="91"/>
        <v>0</v>
      </c>
      <c r="O237" s="46">
        <f t="shared" si="91"/>
        <v>0</v>
      </c>
      <c r="P237" s="30"/>
    </row>
    <row r="238" spans="1:16" x14ac:dyDescent="0.25">
      <c r="A238" s="44"/>
      <c r="B238" s="44"/>
      <c r="C238" s="44"/>
      <c r="D238" s="28"/>
      <c r="E238" s="28"/>
      <c r="F238" s="28"/>
      <c r="G238" s="28"/>
      <c r="H238" s="28"/>
      <c r="I238" s="28"/>
      <c r="J238" s="28"/>
      <c r="K238" s="28"/>
      <c r="L238" s="28"/>
      <c r="M238" s="28"/>
      <c r="N238" s="28"/>
      <c r="O238" s="28"/>
      <c r="P238" s="30"/>
    </row>
    <row r="239" spans="1:16" x14ac:dyDescent="0.25">
      <c r="A239" s="9" t="s">
        <v>241</v>
      </c>
      <c r="B239" s="9" t="s">
        <v>240</v>
      </c>
      <c r="C239" s="9" t="s">
        <v>246</v>
      </c>
      <c r="D239" s="39">
        <f>(D199+D205)*$D$211</f>
        <v>0</v>
      </c>
      <c r="E239" s="39">
        <f t="shared" ref="E239:O239" si="92">(E199+E205)*$D$211</f>
        <v>0</v>
      </c>
      <c r="F239" s="39">
        <f t="shared" si="92"/>
        <v>0</v>
      </c>
      <c r="G239" s="39">
        <f t="shared" si="92"/>
        <v>0</v>
      </c>
      <c r="H239" s="39">
        <f t="shared" si="92"/>
        <v>0</v>
      </c>
      <c r="I239" s="39">
        <f t="shared" si="92"/>
        <v>0</v>
      </c>
      <c r="J239" s="39">
        <f t="shared" si="92"/>
        <v>0</v>
      </c>
      <c r="K239" s="39">
        <f t="shared" si="92"/>
        <v>0</v>
      </c>
      <c r="L239" s="39">
        <f t="shared" si="92"/>
        <v>0</v>
      </c>
      <c r="M239" s="39">
        <f t="shared" si="92"/>
        <v>0</v>
      </c>
      <c r="N239" s="39">
        <f t="shared" si="92"/>
        <v>0</v>
      </c>
      <c r="O239" s="39">
        <f t="shared" si="92"/>
        <v>0</v>
      </c>
      <c r="P239" s="30"/>
    </row>
    <row r="240" spans="1:16" x14ac:dyDescent="0.25">
      <c r="A240" s="9" t="s">
        <v>247</v>
      </c>
      <c r="B240" s="9" t="s">
        <v>248</v>
      </c>
      <c r="C240" s="9" t="s">
        <v>249</v>
      </c>
      <c r="D240" s="39">
        <f>(D200+D206)*$D$211</f>
        <v>0</v>
      </c>
      <c r="E240" s="39">
        <f t="shared" ref="E240:O240" si="93">(E200+E206)*$D$211</f>
        <v>0</v>
      </c>
      <c r="F240" s="39">
        <f t="shared" si="93"/>
        <v>0</v>
      </c>
      <c r="G240" s="39">
        <f t="shared" si="93"/>
        <v>0</v>
      </c>
      <c r="H240" s="39">
        <f t="shared" si="93"/>
        <v>0</v>
      </c>
      <c r="I240" s="39">
        <f t="shared" si="93"/>
        <v>0</v>
      </c>
      <c r="J240" s="39">
        <f t="shared" si="93"/>
        <v>0</v>
      </c>
      <c r="K240" s="39">
        <f t="shared" si="93"/>
        <v>0</v>
      </c>
      <c r="L240" s="39">
        <f t="shared" si="93"/>
        <v>0</v>
      </c>
      <c r="M240" s="39">
        <f t="shared" si="93"/>
        <v>0</v>
      </c>
      <c r="N240" s="39">
        <f t="shared" si="93"/>
        <v>0</v>
      </c>
      <c r="O240" s="39">
        <f t="shared" si="93"/>
        <v>0</v>
      </c>
      <c r="P240" s="30"/>
    </row>
    <row r="241" spans="1:16" x14ac:dyDescent="0.25">
      <c r="A241" s="9" t="s">
        <v>250</v>
      </c>
      <c r="B241" s="9" t="s">
        <v>251</v>
      </c>
      <c r="C241" s="9" t="s">
        <v>252</v>
      </c>
      <c r="D241" s="39">
        <f>(D201+D207)*$D$211</f>
        <v>0</v>
      </c>
      <c r="E241" s="39">
        <f t="shared" ref="E241:O241" si="94">(E201+E207)*$D$211</f>
        <v>0</v>
      </c>
      <c r="F241" s="39">
        <f t="shared" si="94"/>
        <v>0</v>
      </c>
      <c r="G241" s="39">
        <f t="shared" si="94"/>
        <v>0</v>
      </c>
      <c r="H241" s="39">
        <f t="shared" si="94"/>
        <v>0</v>
      </c>
      <c r="I241" s="39">
        <f t="shared" si="94"/>
        <v>0</v>
      </c>
      <c r="J241" s="39">
        <f t="shared" si="94"/>
        <v>0</v>
      </c>
      <c r="K241" s="39">
        <f t="shared" si="94"/>
        <v>0</v>
      </c>
      <c r="L241" s="39">
        <f t="shared" si="94"/>
        <v>0</v>
      </c>
      <c r="M241" s="39">
        <f t="shared" si="94"/>
        <v>0</v>
      </c>
      <c r="N241" s="39">
        <f t="shared" si="94"/>
        <v>0</v>
      </c>
      <c r="O241" s="39">
        <f t="shared" si="94"/>
        <v>0</v>
      </c>
      <c r="P241" s="30"/>
    </row>
    <row r="242" spans="1:16" x14ac:dyDescent="0.25">
      <c r="A242" s="9"/>
      <c r="B242" s="9"/>
      <c r="C242" s="9"/>
      <c r="D242" s="39"/>
      <c r="E242" s="39"/>
      <c r="F242" s="39"/>
      <c r="G242" s="39"/>
      <c r="H242" s="39"/>
      <c r="I242" s="39"/>
      <c r="J242" s="39"/>
      <c r="K242" s="39"/>
      <c r="L242" s="39"/>
      <c r="M242" s="39"/>
      <c r="N242" s="39"/>
      <c r="O242" s="39"/>
      <c r="P242" s="30"/>
    </row>
    <row r="243" spans="1:16" x14ac:dyDescent="0.25">
      <c r="A243" s="9" t="s">
        <v>253</v>
      </c>
      <c r="B243" s="9" t="s">
        <v>306</v>
      </c>
      <c r="C243" s="9" t="s">
        <v>246</v>
      </c>
      <c r="D243" s="39">
        <f>(D199+D205)*$D$212</f>
        <v>22.320685108829569</v>
      </c>
      <c r="E243" s="39">
        <f t="shared" ref="E243:O243" si="95">(E199+E205)*$D$212</f>
        <v>22.320685108829569</v>
      </c>
      <c r="F243" s="39">
        <f t="shared" si="95"/>
        <v>0</v>
      </c>
      <c r="G243" s="39">
        <f t="shared" si="95"/>
        <v>0</v>
      </c>
      <c r="H243" s="39">
        <f t="shared" si="95"/>
        <v>0</v>
      </c>
      <c r="I243" s="39">
        <f t="shared" si="95"/>
        <v>0</v>
      </c>
      <c r="J243" s="39">
        <f t="shared" si="95"/>
        <v>0</v>
      </c>
      <c r="K243" s="39">
        <f t="shared" si="95"/>
        <v>0</v>
      </c>
      <c r="L243" s="39">
        <f t="shared" si="95"/>
        <v>0</v>
      </c>
      <c r="M243" s="39">
        <f t="shared" si="95"/>
        <v>0</v>
      </c>
      <c r="N243" s="39">
        <f t="shared" si="95"/>
        <v>0</v>
      </c>
      <c r="O243" s="39">
        <f t="shared" si="95"/>
        <v>0</v>
      </c>
      <c r="P243" s="30"/>
    </row>
    <row r="244" spans="1:16" x14ac:dyDescent="0.25">
      <c r="A244" s="9" t="s">
        <v>254</v>
      </c>
      <c r="B244" s="9" t="s">
        <v>307</v>
      </c>
      <c r="C244" s="9" t="s">
        <v>249</v>
      </c>
      <c r="D244" s="39">
        <f t="shared" ref="D244:O245" si="96">(D200+D206)*$D$212</f>
        <v>4.0148245995893221</v>
      </c>
      <c r="E244" s="39">
        <f t="shared" si="96"/>
        <v>4.0148245995893221</v>
      </c>
      <c r="F244" s="39">
        <f t="shared" si="96"/>
        <v>0</v>
      </c>
      <c r="G244" s="39">
        <f t="shared" si="96"/>
        <v>0</v>
      </c>
      <c r="H244" s="39">
        <f t="shared" si="96"/>
        <v>0</v>
      </c>
      <c r="I244" s="39">
        <f t="shared" si="96"/>
        <v>0</v>
      </c>
      <c r="J244" s="39">
        <f t="shared" si="96"/>
        <v>0</v>
      </c>
      <c r="K244" s="39">
        <f t="shared" si="96"/>
        <v>0</v>
      </c>
      <c r="L244" s="39">
        <f t="shared" si="96"/>
        <v>0</v>
      </c>
      <c r="M244" s="39">
        <f t="shared" si="96"/>
        <v>0</v>
      </c>
      <c r="N244" s="39">
        <f t="shared" si="96"/>
        <v>0</v>
      </c>
      <c r="O244" s="39">
        <f t="shared" si="96"/>
        <v>0</v>
      </c>
      <c r="P244" s="30"/>
    </row>
    <row r="245" spans="1:16" x14ac:dyDescent="0.25">
      <c r="A245" s="9" t="s">
        <v>255</v>
      </c>
      <c r="B245" s="9" t="s">
        <v>308</v>
      </c>
      <c r="C245" s="9" t="s">
        <v>252</v>
      </c>
      <c r="D245" s="39">
        <f t="shared" si="96"/>
        <v>22.502813403548256</v>
      </c>
      <c r="E245" s="39">
        <f t="shared" si="96"/>
        <v>22.502813403548256</v>
      </c>
      <c r="F245" s="39">
        <f t="shared" si="96"/>
        <v>0</v>
      </c>
      <c r="G245" s="39">
        <f t="shared" si="96"/>
        <v>0</v>
      </c>
      <c r="H245" s="39">
        <f t="shared" si="96"/>
        <v>0</v>
      </c>
      <c r="I245" s="39">
        <f t="shared" si="96"/>
        <v>0</v>
      </c>
      <c r="J245" s="39">
        <f t="shared" si="96"/>
        <v>0</v>
      </c>
      <c r="K245" s="39">
        <f t="shared" si="96"/>
        <v>0</v>
      </c>
      <c r="L245" s="39">
        <f t="shared" si="96"/>
        <v>0</v>
      </c>
      <c r="M245" s="39">
        <f t="shared" si="96"/>
        <v>0</v>
      </c>
      <c r="N245" s="39">
        <f t="shared" si="96"/>
        <v>0</v>
      </c>
      <c r="O245" s="39">
        <f t="shared" si="96"/>
        <v>0</v>
      </c>
      <c r="P245" s="30"/>
    </row>
    <row r="246" spans="1:16" x14ac:dyDescent="0.25">
      <c r="A246" s="9"/>
      <c r="B246" s="9"/>
      <c r="C246" s="9"/>
      <c r="D246" s="39"/>
      <c r="E246" s="39"/>
      <c r="F246" s="39"/>
      <c r="G246" s="39"/>
      <c r="H246" s="39"/>
      <c r="I246" s="39"/>
      <c r="J246" s="39"/>
      <c r="K246" s="39"/>
      <c r="L246" s="39"/>
      <c r="M246" s="39"/>
      <c r="N246" s="39"/>
      <c r="O246" s="39"/>
      <c r="P246" s="30"/>
    </row>
    <row r="247" spans="1:16" x14ac:dyDescent="0.25">
      <c r="A247" s="9" t="s">
        <v>256</v>
      </c>
      <c r="B247" s="9" t="s">
        <v>737</v>
      </c>
      <c r="C247" s="9" t="s">
        <v>246</v>
      </c>
      <c r="D247" s="39">
        <f>D243*$D216</f>
        <v>0.22320685108829569</v>
      </c>
      <c r="E247" s="39">
        <f t="shared" ref="E247:O247" si="97">E243*$D216</f>
        <v>0.22320685108829569</v>
      </c>
      <c r="F247" s="39">
        <f t="shared" si="97"/>
        <v>0</v>
      </c>
      <c r="G247" s="39">
        <f t="shared" si="97"/>
        <v>0</v>
      </c>
      <c r="H247" s="39">
        <f t="shared" si="97"/>
        <v>0</v>
      </c>
      <c r="I247" s="39">
        <f t="shared" si="97"/>
        <v>0</v>
      </c>
      <c r="J247" s="39">
        <f t="shared" si="97"/>
        <v>0</v>
      </c>
      <c r="K247" s="39">
        <f t="shared" si="97"/>
        <v>0</v>
      </c>
      <c r="L247" s="39">
        <f t="shared" si="97"/>
        <v>0</v>
      </c>
      <c r="M247" s="39">
        <f t="shared" si="97"/>
        <v>0</v>
      </c>
      <c r="N247" s="39">
        <f t="shared" si="97"/>
        <v>0</v>
      </c>
      <c r="O247" s="39">
        <f t="shared" si="97"/>
        <v>0</v>
      </c>
      <c r="P247" s="30"/>
    </row>
    <row r="248" spans="1:16" x14ac:dyDescent="0.25">
      <c r="A248" s="9" t="s">
        <v>257</v>
      </c>
      <c r="B248" s="9" t="s">
        <v>738</v>
      </c>
      <c r="C248" s="9" t="s">
        <v>249</v>
      </c>
      <c r="D248" s="39">
        <f>D244*$D217</f>
        <v>3.6133421396303905E-2</v>
      </c>
      <c r="E248" s="39">
        <f t="shared" ref="E248:O248" si="98">E244*$D217</f>
        <v>3.6133421396303905E-2</v>
      </c>
      <c r="F248" s="39">
        <f t="shared" si="98"/>
        <v>0</v>
      </c>
      <c r="G248" s="39">
        <f t="shared" si="98"/>
        <v>0</v>
      </c>
      <c r="H248" s="39">
        <f t="shared" si="98"/>
        <v>0</v>
      </c>
      <c r="I248" s="39">
        <f t="shared" si="98"/>
        <v>0</v>
      </c>
      <c r="J248" s="39">
        <f t="shared" si="98"/>
        <v>0</v>
      </c>
      <c r="K248" s="39">
        <f t="shared" si="98"/>
        <v>0</v>
      </c>
      <c r="L248" s="39">
        <f t="shared" si="98"/>
        <v>0</v>
      </c>
      <c r="M248" s="39">
        <f t="shared" si="98"/>
        <v>0</v>
      </c>
      <c r="N248" s="39">
        <f t="shared" si="98"/>
        <v>0</v>
      </c>
      <c r="O248" s="39">
        <f t="shared" si="98"/>
        <v>0</v>
      </c>
      <c r="P248" s="30"/>
    </row>
    <row r="249" spans="1:16" x14ac:dyDescent="0.25">
      <c r="A249" s="9" t="s">
        <v>258</v>
      </c>
      <c r="B249" s="9" t="s">
        <v>739</v>
      </c>
      <c r="C249" s="9" t="s">
        <v>252</v>
      </c>
      <c r="D249" s="39">
        <f>D245*$D218</f>
        <v>0.24753094743903081</v>
      </c>
      <c r="E249" s="39">
        <f t="shared" ref="E249:O249" si="99">E245*$D218</f>
        <v>0.24753094743903081</v>
      </c>
      <c r="F249" s="39">
        <f t="shared" si="99"/>
        <v>0</v>
      </c>
      <c r="G249" s="39">
        <f t="shared" si="99"/>
        <v>0</v>
      </c>
      <c r="H249" s="39">
        <f t="shared" si="99"/>
        <v>0</v>
      </c>
      <c r="I249" s="39">
        <f t="shared" si="99"/>
        <v>0</v>
      </c>
      <c r="J249" s="39">
        <f t="shared" si="99"/>
        <v>0</v>
      </c>
      <c r="K249" s="39">
        <f t="shared" si="99"/>
        <v>0</v>
      </c>
      <c r="L249" s="39">
        <f t="shared" si="99"/>
        <v>0</v>
      </c>
      <c r="M249" s="39">
        <f t="shared" si="99"/>
        <v>0</v>
      </c>
      <c r="N249" s="39">
        <f t="shared" si="99"/>
        <v>0</v>
      </c>
      <c r="O249" s="39">
        <f t="shared" si="99"/>
        <v>0</v>
      </c>
      <c r="P249" s="30"/>
    </row>
    <row r="250" spans="1:16" x14ac:dyDescent="0.25">
      <c r="A250" s="9"/>
      <c r="B250" s="9"/>
      <c r="C250" s="9"/>
      <c r="D250" s="39"/>
      <c r="E250" s="39"/>
      <c r="F250" s="39"/>
      <c r="G250" s="39"/>
      <c r="H250" s="39"/>
      <c r="I250" s="39"/>
      <c r="J250" s="39"/>
      <c r="K250" s="39"/>
      <c r="L250" s="39"/>
      <c r="M250" s="39"/>
      <c r="N250" s="39"/>
      <c r="O250" s="39"/>
      <c r="P250" s="30"/>
    </row>
    <row r="251" spans="1:16" x14ac:dyDescent="0.25">
      <c r="A251" s="9" t="s">
        <v>740</v>
      </c>
      <c r="B251" s="9" t="s">
        <v>743</v>
      </c>
      <c r="C251" s="9" t="s">
        <v>246</v>
      </c>
      <c r="D251" s="39">
        <f>D243-D247</f>
        <v>22.097478257741273</v>
      </c>
      <c r="E251" s="39">
        <f t="shared" ref="E251:O251" si="100">E243-E247</f>
        <v>22.097478257741273</v>
      </c>
      <c r="F251" s="39">
        <f t="shared" si="100"/>
        <v>0</v>
      </c>
      <c r="G251" s="39">
        <f t="shared" si="100"/>
        <v>0</v>
      </c>
      <c r="H251" s="39">
        <f t="shared" si="100"/>
        <v>0</v>
      </c>
      <c r="I251" s="39">
        <f t="shared" si="100"/>
        <v>0</v>
      </c>
      <c r="J251" s="39">
        <f t="shared" si="100"/>
        <v>0</v>
      </c>
      <c r="K251" s="39">
        <f t="shared" si="100"/>
        <v>0</v>
      </c>
      <c r="L251" s="39">
        <f t="shared" si="100"/>
        <v>0</v>
      </c>
      <c r="M251" s="39">
        <f t="shared" si="100"/>
        <v>0</v>
      </c>
      <c r="N251" s="39">
        <f t="shared" si="100"/>
        <v>0</v>
      </c>
      <c r="O251" s="39">
        <f t="shared" si="100"/>
        <v>0</v>
      </c>
      <c r="P251" s="30"/>
    </row>
    <row r="252" spans="1:16" x14ac:dyDescent="0.25">
      <c r="A252" s="9" t="s">
        <v>741</v>
      </c>
      <c r="B252" s="9" t="s">
        <v>744</v>
      </c>
      <c r="C252" s="9" t="s">
        <v>249</v>
      </c>
      <c r="D252" s="39">
        <f t="shared" ref="D252:O253" si="101">D244-D248</f>
        <v>3.9786911781930181</v>
      </c>
      <c r="E252" s="39">
        <f>E244-E248</f>
        <v>3.9786911781930181</v>
      </c>
      <c r="F252" s="39">
        <f t="shared" si="101"/>
        <v>0</v>
      </c>
      <c r="G252" s="39">
        <f t="shared" si="101"/>
        <v>0</v>
      </c>
      <c r="H252" s="39">
        <f t="shared" si="101"/>
        <v>0</v>
      </c>
      <c r="I252" s="39">
        <f t="shared" si="101"/>
        <v>0</v>
      </c>
      <c r="J252" s="39">
        <f t="shared" si="101"/>
        <v>0</v>
      </c>
      <c r="K252" s="39">
        <f t="shared" si="101"/>
        <v>0</v>
      </c>
      <c r="L252" s="39">
        <f t="shared" si="101"/>
        <v>0</v>
      </c>
      <c r="M252" s="39">
        <f t="shared" si="101"/>
        <v>0</v>
      </c>
      <c r="N252" s="39">
        <f t="shared" si="101"/>
        <v>0</v>
      </c>
      <c r="O252" s="39">
        <f t="shared" si="101"/>
        <v>0</v>
      </c>
      <c r="P252" s="30"/>
    </row>
    <row r="253" spans="1:16" x14ac:dyDescent="0.25">
      <c r="A253" s="9" t="s">
        <v>742</v>
      </c>
      <c r="B253" s="9" t="s">
        <v>745</v>
      </c>
      <c r="C253" s="9" t="s">
        <v>252</v>
      </c>
      <c r="D253" s="39">
        <f t="shared" si="101"/>
        <v>22.255282456109224</v>
      </c>
      <c r="E253" s="39">
        <f t="shared" si="101"/>
        <v>22.255282456109224</v>
      </c>
      <c r="F253" s="39">
        <f t="shared" si="101"/>
        <v>0</v>
      </c>
      <c r="G253" s="39">
        <f t="shared" si="101"/>
        <v>0</v>
      </c>
      <c r="H253" s="39">
        <f t="shared" si="101"/>
        <v>0</v>
      </c>
      <c r="I253" s="39">
        <f t="shared" si="101"/>
        <v>0</v>
      </c>
      <c r="J253" s="39">
        <f t="shared" si="101"/>
        <v>0</v>
      </c>
      <c r="K253" s="39">
        <f t="shared" si="101"/>
        <v>0</v>
      </c>
      <c r="L253" s="39">
        <f t="shared" si="101"/>
        <v>0</v>
      </c>
      <c r="M253" s="39">
        <f t="shared" si="101"/>
        <v>0</v>
      </c>
      <c r="N253" s="39">
        <f t="shared" si="101"/>
        <v>0</v>
      </c>
      <c r="O253" s="39">
        <f t="shared" si="101"/>
        <v>0</v>
      </c>
      <c r="P253" s="30"/>
    </row>
    <row r="254" spans="1:16" x14ac:dyDescent="0.25">
      <c r="A254" s="33"/>
      <c r="D254" s="28"/>
      <c r="E254" s="28"/>
      <c r="F254" s="28"/>
      <c r="G254" s="28"/>
      <c r="H254" s="28"/>
      <c r="I254" s="28"/>
      <c r="J254" s="28"/>
      <c r="K254" s="28"/>
      <c r="L254" s="28"/>
      <c r="M254" s="28"/>
      <c r="N254" s="28"/>
      <c r="O254" s="28"/>
      <c r="P254" s="30"/>
    </row>
    <row r="255" spans="1:16" x14ac:dyDescent="0.25">
      <c r="A255" s="5" t="s">
        <v>259</v>
      </c>
      <c r="B255" s="9" t="s">
        <v>260</v>
      </c>
      <c r="C255" s="33"/>
      <c r="P255" s="30"/>
    </row>
    <row r="256" spans="1:16" x14ac:dyDescent="0.25">
      <c r="A256" s="5" t="s">
        <v>58</v>
      </c>
      <c r="B256" s="44" t="s">
        <v>261</v>
      </c>
      <c r="C256" s="5" t="s">
        <v>233</v>
      </c>
      <c r="D256" s="70">
        <f>IF($D$237&lt;=0,0,(D239+D247)/$D$237)</f>
        <v>0</v>
      </c>
      <c r="E256" s="70">
        <f t="shared" ref="E256:O256" si="102">IF($D$237&lt;=0,0,(E239+E247)/$D$237)</f>
        <v>0</v>
      </c>
      <c r="F256" s="70">
        <f t="shared" si="102"/>
        <v>0</v>
      </c>
      <c r="G256" s="70">
        <f t="shared" si="102"/>
        <v>0</v>
      </c>
      <c r="H256" s="70">
        <f t="shared" si="102"/>
        <v>0</v>
      </c>
      <c r="I256" s="70">
        <f t="shared" si="102"/>
        <v>0</v>
      </c>
      <c r="J256" s="70">
        <f t="shared" si="102"/>
        <v>0</v>
      </c>
      <c r="K256" s="70">
        <f t="shared" si="102"/>
        <v>0</v>
      </c>
      <c r="L256" s="70">
        <f t="shared" si="102"/>
        <v>0</v>
      </c>
      <c r="M256" s="70">
        <f t="shared" si="102"/>
        <v>0</v>
      </c>
      <c r="N256" s="70">
        <f t="shared" si="102"/>
        <v>0</v>
      </c>
      <c r="O256" s="70">
        <f t="shared" si="102"/>
        <v>0</v>
      </c>
      <c r="P256" s="66"/>
    </row>
    <row r="257" spans="1:16" x14ac:dyDescent="0.25">
      <c r="A257" s="5" t="s">
        <v>59</v>
      </c>
      <c r="B257" s="5"/>
      <c r="C257" s="5" t="s">
        <v>234</v>
      </c>
      <c r="D257" s="70">
        <f t="shared" ref="D257:O258" si="103">IF($D$237&lt;=0,0,(D240+D248)/$D$237)</f>
        <v>0</v>
      </c>
      <c r="E257" s="70">
        <f t="shared" si="103"/>
        <v>0</v>
      </c>
      <c r="F257" s="70">
        <f t="shared" si="103"/>
        <v>0</v>
      </c>
      <c r="G257" s="70">
        <f t="shared" si="103"/>
        <v>0</v>
      </c>
      <c r="H257" s="70">
        <f t="shared" si="103"/>
        <v>0</v>
      </c>
      <c r="I257" s="70">
        <f t="shared" si="103"/>
        <v>0</v>
      </c>
      <c r="J257" s="70">
        <f t="shared" si="103"/>
        <v>0</v>
      </c>
      <c r="K257" s="70">
        <f t="shared" si="103"/>
        <v>0</v>
      </c>
      <c r="L257" s="70">
        <f t="shared" si="103"/>
        <v>0</v>
      </c>
      <c r="M257" s="70">
        <f t="shared" si="103"/>
        <v>0</v>
      </c>
      <c r="N257" s="70">
        <f t="shared" si="103"/>
        <v>0</v>
      </c>
      <c r="O257" s="70">
        <f t="shared" si="103"/>
        <v>0</v>
      </c>
      <c r="P257" s="66"/>
    </row>
    <row r="258" spans="1:16" x14ac:dyDescent="0.25">
      <c r="A258" s="5" t="s">
        <v>60</v>
      </c>
      <c r="B258" s="5"/>
      <c r="C258" s="5" t="s">
        <v>235</v>
      </c>
      <c r="D258" s="70">
        <f t="shared" si="103"/>
        <v>0</v>
      </c>
      <c r="E258" s="70">
        <f t="shared" si="103"/>
        <v>0</v>
      </c>
      <c r="F258" s="70">
        <f t="shared" si="103"/>
        <v>0</v>
      </c>
      <c r="G258" s="70">
        <f t="shared" si="103"/>
        <v>0</v>
      </c>
      <c r="H258" s="70">
        <f t="shared" si="103"/>
        <v>0</v>
      </c>
      <c r="I258" s="70">
        <f t="shared" si="103"/>
        <v>0</v>
      </c>
      <c r="J258" s="70">
        <f t="shared" si="103"/>
        <v>0</v>
      </c>
      <c r="K258" s="70">
        <f t="shared" si="103"/>
        <v>0</v>
      </c>
      <c r="L258" s="70">
        <f t="shared" si="103"/>
        <v>0</v>
      </c>
      <c r="M258" s="70">
        <f t="shared" si="103"/>
        <v>0</v>
      </c>
      <c r="N258" s="70">
        <f t="shared" si="103"/>
        <v>0</v>
      </c>
      <c r="O258" s="70">
        <f t="shared" si="103"/>
        <v>0</v>
      </c>
      <c r="P258" s="30" t="s">
        <v>358</v>
      </c>
    </row>
    <row r="259" spans="1:16" x14ac:dyDescent="0.25">
      <c r="A259" s="33"/>
      <c r="B259" s="33"/>
      <c r="C259" s="33"/>
      <c r="P259" s="66"/>
    </row>
    <row r="260" spans="1:16" x14ac:dyDescent="0.25">
      <c r="A260" s="5" t="s">
        <v>236</v>
      </c>
      <c r="B260" s="33"/>
      <c r="C260" s="33"/>
      <c r="P260" s="30"/>
    </row>
    <row r="261" spans="1:16" x14ac:dyDescent="0.25">
      <c r="A261" s="5" t="s">
        <v>58</v>
      </c>
      <c r="B261" s="239" t="s">
        <v>746</v>
      </c>
      <c r="C261" s="5" t="s">
        <v>275</v>
      </c>
      <c r="D261" s="70">
        <f>IF($D$236&lt;=0,0,D251/$D$236)</f>
        <v>10.37140342857143</v>
      </c>
      <c r="E261" s="70">
        <f t="shared" ref="E261:O261" si="104">IF($D$236&lt;=0,0,E251/$D$236)</f>
        <v>10.37140342857143</v>
      </c>
      <c r="F261" s="70">
        <f t="shared" si="104"/>
        <v>0</v>
      </c>
      <c r="G261" s="70">
        <f t="shared" si="104"/>
        <v>0</v>
      </c>
      <c r="H261" s="70">
        <f t="shared" si="104"/>
        <v>0</v>
      </c>
      <c r="I261" s="70">
        <f t="shared" si="104"/>
        <v>0</v>
      </c>
      <c r="J261" s="70">
        <f t="shared" si="104"/>
        <v>0</v>
      </c>
      <c r="K261" s="70">
        <f t="shared" si="104"/>
        <v>0</v>
      </c>
      <c r="L261" s="70">
        <f t="shared" si="104"/>
        <v>0</v>
      </c>
      <c r="M261" s="70">
        <f t="shared" si="104"/>
        <v>0</v>
      </c>
      <c r="N261" s="70">
        <f t="shared" si="104"/>
        <v>0</v>
      </c>
      <c r="O261" s="70">
        <f t="shared" si="104"/>
        <v>0</v>
      </c>
      <c r="P261" s="30"/>
    </row>
    <row r="262" spans="1:16" x14ac:dyDescent="0.25">
      <c r="A262" s="5" t="s">
        <v>59</v>
      </c>
      <c r="B262" s="5"/>
      <c r="C262" s="5" t="s">
        <v>276</v>
      </c>
      <c r="D262" s="70">
        <f>IF($D$236&lt;=0,0,D252/$D$236)</f>
        <v>1.8673900634920635</v>
      </c>
      <c r="E262" s="70">
        <f t="shared" ref="E262:O262" si="105">IF($D$236&lt;=0,0,E252/$D$236)</f>
        <v>1.8673900634920635</v>
      </c>
      <c r="F262" s="70">
        <f t="shared" si="105"/>
        <v>0</v>
      </c>
      <c r="G262" s="70">
        <f t="shared" si="105"/>
        <v>0</v>
      </c>
      <c r="H262" s="70">
        <f t="shared" si="105"/>
        <v>0</v>
      </c>
      <c r="I262" s="70">
        <f t="shared" si="105"/>
        <v>0</v>
      </c>
      <c r="J262" s="70">
        <f t="shared" si="105"/>
        <v>0</v>
      </c>
      <c r="K262" s="70">
        <f t="shared" si="105"/>
        <v>0</v>
      </c>
      <c r="L262" s="70">
        <f t="shared" si="105"/>
        <v>0</v>
      </c>
      <c r="M262" s="70">
        <f t="shared" si="105"/>
        <v>0</v>
      </c>
      <c r="N262" s="70">
        <f t="shared" si="105"/>
        <v>0</v>
      </c>
      <c r="O262" s="70">
        <f t="shared" si="105"/>
        <v>0</v>
      </c>
      <c r="P262" s="30"/>
    </row>
    <row r="263" spans="1:16" x14ac:dyDescent="0.25">
      <c r="A263" s="5" t="s">
        <v>60</v>
      </c>
      <c r="B263" s="5"/>
      <c r="C263" s="5" t="s">
        <v>277</v>
      </c>
      <c r="D263" s="70">
        <f>IF($D$236&lt;=0,0,D253/$D$236)</f>
        <v>10.445468486353441</v>
      </c>
      <c r="E263" s="70">
        <f t="shared" ref="E263:O263" si="106">IF($D$236&lt;=0,0,E253/$D$236)</f>
        <v>10.445468486353441</v>
      </c>
      <c r="F263" s="70">
        <f t="shared" si="106"/>
        <v>0</v>
      </c>
      <c r="G263" s="70">
        <f t="shared" si="106"/>
        <v>0</v>
      </c>
      <c r="H263" s="70">
        <f t="shared" si="106"/>
        <v>0</v>
      </c>
      <c r="I263" s="70">
        <f t="shared" si="106"/>
        <v>0</v>
      </c>
      <c r="J263" s="70">
        <f t="shared" si="106"/>
        <v>0</v>
      </c>
      <c r="K263" s="70">
        <f t="shared" si="106"/>
        <v>0</v>
      </c>
      <c r="L263" s="70">
        <f t="shared" si="106"/>
        <v>0</v>
      </c>
      <c r="M263" s="70">
        <f t="shared" si="106"/>
        <v>0</v>
      </c>
      <c r="N263" s="70">
        <f t="shared" si="106"/>
        <v>0</v>
      </c>
      <c r="O263" s="70">
        <f t="shared" si="106"/>
        <v>0</v>
      </c>
      <c r="P263" s="30"/>
    </row>
    <row r="264" spans="1:16" x14ac:dyDescent="0.25">
      <c r="P264" s="30"/>
    </row>
    <row r="265" spans="1:16" x14ac:dyDescent="0.25">
      <c r="P265" s="30"/>
    </row>
    <row r="266" spans="1:16" x14ac:dyDescent="0.25">
      <c r="A266" s="59" t="str">
        <f>'Saisie 2_bovins'!B20</f>
        <v>Génisse (1 - 2 ans)</v>
      </c>
      <c r="B266" s="59"/>
      <c r="C266" s="59"/>
      <c r="D266" s="59" t="s">
        <v>132</v>
      </c>
      <c r="E266" s="59" t="s">
        <v>133</v>
      </c>
      <c r="F266" s="59" t="s">
        <v>134</v>
      </c>
      <c r="G266" s="59" t="s">
        <v>135</v>
      </c>
      <c r="H266" s="59" t="s">
        <v>136</v>
      </c>
      <c r="I266" s="59" t="s">
        <v>137</v>
      </c>
      <c r="J266" s="59" t="s">
        <v>138</v>
      </c>
      <c r="K266" s="59" t="s">
        <v>139</v>
      </c>
      <c r="L266" s="59" t="s">
        <v>140</v>
      </c>
      <c r="M266" s="59" t="s">
        <v>141</v>
      </c>
      <c r="N266" s="59" t="s">
        <v>142</v>
      </c>
      <c r="O266" s="59" t="s">
        <v>143</v>
      </c>
      <c r="P266" s="30"/>
    </row>
    <row r="267" spans="1:16" x14ac:dyDescent="0.25">
      <c r="A267" s="42" t="s">
        <v>280</v>
      </c>
      <c r="B267" s="42"/>
      <c r="C267" s="42"/>
      <c r="D267" t="str">
        <f>'Saisie 2_bovins'!G22</f>
        <v>Ensilage d'herbe</v>
      </c>
      <c r="E267" t="str">
        <f>'Saisie 2_bovins'!H22</f>
        <v>Ensilage d'herbe</v>
      </c>
      <c r="F267" t="str">
        <f>'Saisie 2_bovins'!I22</f>
        <v>Ensilage d'herbe</v>
      </c>
      <c r="G267" t="str">
        <f>'Saisie 2_bovins'!J22</f>
        <v>Herbe pâturée</v>
      </c>
      <c r="H267" t="str">
        <f>'Saisie 2_bovins'!K22</f>
        <v>Herbe pâturée</v>
      </c>
      <c r="I267" t="str">
        <f>'Saisie 2_bovins'!L22</f>
        <v>Herbe pâturée</v>
      </c>
      <c r="J267" t="str">
        <f>'Saisie 2_bovins'!M22</f>
        <v>Foin</v>
      </c>
      <c r="K267" t="str">
        <f>'Saisie 2_bovins'!N22</f>
        <v>Foin</v>
      </c>
      <c r="L267" t="str">
        <f>'Saisie 2_bovins'!O22</f>
        <v>Foin</v>
      </c>
      <c r="M267" t="str">
        <f>'Saisie 2_bovins'!P22</f>
        <v>Ensilage d'herbe</v>
      </c>
      <c r="N267" t="str">
        <f>'Saisie 2_bovins'!Q22</f>
        <v>Ensilage d'herbe</v>
      </c>
      <c r="O267" t="str">
        <f>'Saisie 2_bovins'!R22</f>
        <v>Ensilage d'herbe</v>
      </c>
      <c r="P267" s="30"/>
    </row>
    <row r="268" spans="1:16" x14ac:dyDescent="0.25">
      <c r="A268" t="s">
        <v>151</v>
      </c>
      <c r="B268" t="s">
        <v>328</v>
      </c>
      <c r="C268" t="s">
        <v>312</v>
      </c>
      <c r="D268" s="60">
        <f>IF(D267=param_bovins!$A$126,param_bovins!$H$126*'Saisie 2_bovins'!$D$21+param_bovins!$I$126,IF(Calculs_bovins!D267=param_bovins!$A$127,param_bovins!$H$127*'Saisie 2_bovins'!$D$21+param_bovins!$I$127,IF(Calculs_bovins!D267=param_bovins!$A$128,param_bovins!$H$128*'Saisie 2_bovins'!$D$21+param_bovins!$I$128,0)))</f>
        <v>200.5</v>
      </c>
      <c r="E268" s="60">
        <f>IF(E267=param_bovins!$A$126,param_bovins!$H$126*'Saisie 2_bovins'!$D$21+param_bovins!$I$126,IF(Calculs_bovins!E267=param_bovins!$A$127,param_bovins!$H$127*'Saisie 2_bovins'!$D$21+param_bovins!$I$127,IF(Calculs_bovins!E267=param_bovins!$A$128,param_bovins!$H$128*'Saisie 2_bovins'!$D$21+param_bovins!$I$128,0)))</f>
        <v>200.5</v>
      </c>
      <c r="F268" s="60">
        <f>IF(F267=param_bovins!$A$126,param_bovins!$H$126*'Saisie 2_bovins'!$D$21+param_bovins!$I$126,IF(Calculs_bovins!F267=param_bovins!$A$127,param_bovins!$H$127*'Saisie 2_bovins'!$D$21+param_bovins!$I$127,IF(Calculs_bovins!F267=param_bovins!$A$128,param_bovins!$H$128*'Saisie 2_bovins'!$D$21+param_bovins!$I$128,0)))</f>
        <v>200.5</v>
      </c>
      <c r="G268" s="60">
        <f>IF(G267=param_bovins!$A$126,param_bovins!$H$126*'Saisie 2_bovins'!$D$21+param_bovins!$I$126,IF(Calculs_bovins!G267=param_bovins!$A$127,param_bovins!$H$127*'Saisie 2_bovins'!$D$21+param_bovins!$I$127,IF(Calculs_bovins!G267=param_bovins!$A$128,param_bovins!$H$128*'Saisie 2_bovins'!$D$21+param_bovins!$I$128,0)))</f>
        <v>261</v>
      </c>
      <c r="H268" s="60">
        <f>IF(H267=param_bovins!$A$126,param_bovins!$H$126*'Saisie 2_bovins'!$D$21+param_bovins!$I$126,IF(Calculs_bovins!H267=param_bovins!$A$127,param_bovins!$H$127*'Saisie 2_bovins'!$D$21+param_bovins!$I$127,IF(Calculs_bovins!H267=param_bovins!$A$128,param_bovins!$H$128*'Saisie 2_bovins'!$D$21+param_bovins!$I$128,0)))</f>
        <v>261</v>
      </c>
      <c r="I268" s="60">
        <f>IF(I267=param_bovins!$A$126,param_bovins!$H$126*'Saisie 2_bovins'!$D$21+param_bovins!$I$126,IF(Calculs_bovins!I267=param_bovins!$A$127,param_bovins!$H$127*'Saisie 2_bovins'!$D$21+param_bovins!$I$127,IF(Calculs_bovins!I267=param_bovins!$A$128,param_bovins!$H$128*'Saisie 2_bovins'!$D$21+param_bovins!$I$128,0)))</f>
        <v>261</v>
      </c>
      <c r="J268" s="60">
        <f>IF(J267=param_bovins!$A$126,param_bovins!$H$126*'Saisie 2_bovins'!$D$21+param_bovins!$I$126,IF(Calculs_bovins!J267=param_bovins!$A$127,param_bovins!$H$127*'Saisie 2_bovins'!$D$21+param_bovins!$I$127,IF(Calculs_bovins!J267=param_bovins!$A$128,param_bovins!$H$128*'Saisie 2_bovins'!$D$21+param_bovins!$I$128,0)))</f>
        <v>195.5</v>
      </c>
      <c r="K268" s="60">
        <f>IF(K267=param_bovins!$A$126,param_bovins!$H$126*'Saisie 2_bovins'!$D$21+param_bovins!$I$126,IF(Calculs_bovins!K267=param_bovins!$A$127,param_bovins!$H$127*'Saisie 2_bovins'!$D$21+param_bovins!$I$127,IF(Calculs_bovins!K267=param_bovins!$A$128,param_bovins!$H$128*'Saisie 2_bovins'!$D$21+param_bovins!$I$128,0)))</f>
        <v>195.5</v>
      </c>
      <c r="L268" s="60">
        <f>IF(L267=param_bovins!$A$126,param_bovins!$H$126*'Saisie 2_bovins'!$D$21+param_bovins!$I$126,IF(Calculs_bovins!L267=param_bovins!$A$127,param_bovins!$H$127*'Saisie 2_bovins'!$D$21+param_bovins!$I$127,IF(Calculs_bovins!L267=param_bovins!$A$128,param_bovins!$H$128*'Saisie 2_bovins'!$D$21+param_bovins!$I$128,0)))</f>
        <v>195.5</v>
      </c>
      <c r="M268" s="60">
        <f>IF(M267=param_bovins!$A$126,param_bovins!$H$126*'Saisie 2_bovins'!$D$21+param_bovins!$I$126,IF(Calculs_bovins!M267=param_bovins!$A$127,param_bovins!$H$127*'Saisie 2_bovins'!$D$21+param_bovins!$I$127,IF(Calculs_bovins!M267=param_bovins!$A$128,param_bovins!$H$128*'Saisie 2_bovins'!$D$21+param_bovins!$I$128,0)))</f>
        <v>200.5</v>
      </c>
      <c r="N268" s="60">
        <f>IF(N267=param_bovins!$A$126,param_bovins!$H$126*'Saisie 2_bovins'!$D$21+param_bovins!$I$126,IF(Calculs_bovins!N267=param_bovins!$A$127,param_bovins!$H$127*'Saisie 2_bovins'!$D$21+param_bovins!$I$127,IF(Calculs_bovins!N267=param_bovins!$A$128,param_bovins!$H$128*'Saisie 2_bovins'!$D$21+param_bovins!$I$128,0)))</f>
        <v>200.5</v>
      </c>
      <c r="O268" s="60">
        <f>IF(O267=param_bovins!$A$126,param_bovins!$H$126*'Saisie 2_bovins'!$D$21+param_bovins!$I$126,IF(Calculs_bovins!O267=param_bovins!$A$127,param_bovins!$H$127*'Saisie 2_bovins'!$D$21+param_bovins!$I$127,IF(Calculs_bovins!O267=param_bovins!$A$128,param_bovins!$H$128*'Saisie 2_bovins'!$D$21+param_bovins!$I$128,0)))</f>
        <v>200.5</v>
      </c>
      <c r="P268" s="30"/>
    </row>
    <row r="269" spans="1:16" x14ac:dyDescent="0.25">
      <c r="A269" t="s">
        <v>144</v>
      </c>
      <c r="B269" t="s">
        <v>329</v>
      </c>
      <c r="C269" t="s">
        <v>313</v>
      </c>
      <c r="D269" s="60">
        <f>IF(D267=param_bovins!$A$126,param_bovins!$B$126*'Saisie 2_bovins'!$D$21+param_bovins!$C$126,IF(Calculs_bovins!D267=param_bovins!$A$127,param_bovins!$B$127*'Saisie 2_bovins'!$D$21+param_bovins!$C$127,IF(Calculs_bovins!D267=param_bovins!$A$128,param_bovins!$B$128*'Saisie 2_bovins'!$D$21+param_bovins!$C$128,0)))/1000</f>
        <v>4.3499999999999996</v>
      </c>
      <c r="E269" s="60">
        <f>IF(E267=param_bovins!$A$126,param_bovins!$B$126*'Saisie 2_bovins'!$D$21+param_bovins!$C$126,IF(Calculs_bovins!E267=param_bovins!$A$127,param_bovins!$B$127*'Saisie 2_bovins'!$D$21+param_bovins!$C$127,IF(Calculs_bovins!E267=param_bovins!$A$128,param_bovins!$B$128*'Saisie 2_bovins'!$D$21+param_bovins!$C$128,0)))/1000</f>
        <v>4.3499999999999996</v>
      </c>
      <c r="F269" s="60">
        <f>IF(F267=param_bovins!$A$126,param_bovins!$B$126*'Saisie 2_bovins'!$D$21+param_bovins!$C$126,IF(Calculs_bovins!F267=param_bovins!$A$127,param_bovins!$B$127*'Saisie 2_bovins'!$D$21+param_bovins!$C$127,IF(Calculs_bovins!F267=param_bovins!$A$128,param_bovins!$B$128*'Saisie 2_bovins'!$D$21+param_bovins!$C$128,0)))/1000</f>
        <v>4.3499999999999996</v>
      </c>
      <c r="G269" s="60">
        <f>IF(G267=param_bovins!$A$126,param_bovins!$B$126*'Saisie 2_bovins'!$D$21+param_bovins!$C$126,IF(Calculs_bovins!G267=param_bovins!$A$127,param_bovins!$B$127*'Saisie 2_bovins'!$D$21+param_bovins!$C$127,IF(Calculs_bovins!G267=param_bovins!$A$128,param_bovins!$B$128*'Saisie 2_bovins'!$D$21+param_bovins!$C$128,0)))/1000</f>
        <v>5.95</v>
      </c>
      <c r="H269" s="60">
        <f>IF(H267=param_bovins!$A$126,param_bovins!$B$126*'Saisie 2_bovins'!$D$21+param_bovins!$C$126,IF(Calculs_bovins!H267=param_bovins!$A$127,param_bovins!$B$127*'Saisie 2_bovins'!$D$21+param_bovins!$C$127,IF(Calculs_bovins!H267=param_bovins!$A$128,param_bovins!$B$128*'Saisie 2_bovins'!$D$21+param_bovins!$C$128,0)))/1000</f>
        <v>5.95</v>
      </c>
      <c r="I269" s="60">
        <f>IF(I267=param_bovins!$A$126,param_bovins!$B$126*'Saisie 2_bovins'!$D$21+param_bovins!$C$126,IF(Calculs_bovins!I267=param_bovins!$A$127,param_bovins!$B$127*'Saisie 2_bovins'!$D$21+param_bovins!$C$127,IF(Calculs_bovins!I267=param_bovins!$A$128,param_bovins!$B$128*'Saisie 2_bovins'!$D$21+param_bovins!$C$128,0)))/1000</f>
        <v>5.95</v>
      </c>
      <c r="J269" s="60">
        <f>IF(J267=param_bovins!$A$126,param_bovins!$B$126*'Saisie 2_bovins'!$D$21+param_bovins!$C$126,IF(Calculs_bovins!J267=param_bovins!$A$127,param_bovins!$B$127*'Saisie 2_bovins'!$D$21+param_bovins!$C$127,IF(Calculs_bovins!J267=param_bovins!$A$128,param_bovins!$B$128*'Saisie 2_bovins'!$D$21+param_bovins!$C$128,0)))/1000</f>
        <v>3.4</v>
      </c>
      <c r="K269" s="60">
        <f>IF(K267=param_bovins!$A$126,param_bovins!$B$126*'Saisie 2_bovins'!$D$21+param_bovins!$C$126,IF(Calculs_bovins!K267=param_bovins!$A$127,param_bovins!$B$127*'Saisie 2_bovins'!$D$21+param_bovins!$C$127,IF(Calculs_bovins!K267=param_bovins!$A$128,param_bovins!$B$128*'Saisie 2_bovins'!$D$21+param_bovins!$C$128,0)))/1000</f>
        <v>3.4</v>
      </c>
      <c r="L269" s="60">
        <f>IF(L267=param_bovins!$A$126,param_bovins!$B$126*'Saisie 2_bovins'!$D$21+param_bovins!$C$126,IF(Calculs_bovins!L267=param_bovins!$A$127,param_bovins!$B$127*'Saisie 2_bovins'!$D$21+param_bovins!$C$127,IF(Calculs_bovins!L267=param_bovins!$A$128,param_bovins!$B$128*'Saisie 2_bovins'!$D$21+param_bovins!$C$128,0)))/1000</f>
        <v>3.4</v>
      </c>
      <c r="M269" s="60">
        <f>IF(M267=param_bovins!$A$126,param_bovins!$B$126*'Saisie 2_bovins'!$D$21+param_bovins!$C$126,IF(Calculs_bovins!M267=param_bovins!$A$127,param_bovins!$B$127*'Saisie 2_bovins'!$D$21+param_bovins!$C$127,IF(Calculs_bovins!M267=param_bovins!$A$128,param_bovins!$B$128*'Saisie 2_bovins'!$D$21+param_bovins!$C$128,0)))/1000</f>
        <v>4.3499999999999996</v>
      </c>
      <c r="N269" s="60">
        <f>IF(N267=param_bovins!$A$126,param_bovins!$B$126*'Saisie 2_bovins'!$D$21+param_bovins!$C$126,IF(Calculs_bovins!N267=param_bovins!$A$127,param_bovins!$B$127*'Saisie 2_bovins'!$D$21+param_bovins!$C$127,IF(Calculs_bovins!N267=param_bovins!$A$128,param_bovins!$B$128*'Saisie 2_bovins'!$D$21+param_bovins!$C$128,0)))/1000</f>
        <v>4.3499999999999996</v>
      </c>
      <c r="O269" s="60">
        <f>IF(O267=param_bovins!$A$126,param_bovins!$B$126*'Saisie 2_bovins'!$D$21+param_bovins!$C$126,IF(Calculs_bovins!O267=param_bovins!$A$127,param_bovins!$B$127*'Saisie 2_bovins'!$D$21+param_bovins!$C$127,IF(Calculs_bovins!O267=param_bovins!$A$128,param_bovins!$B$128*'Saisie 2_bovins'!$D$21+param_bovins!$C$128,0)))/1000</f>
        <v>4.3499999999999996</v>
      </c>
      <c r="P269" s="30"/>
    </row>
    <row r="270" spans="1:16" x14ac:dyDescent="0.25">
      <c r="A270" t="s">
        <v>146</v>
      </c>
      <c r="B270" t="s">
        <v>329</v>
      </c>
      <c r="C270" t="s">
        <v>314</v>
      </c>
      <c r="D270" s="60">
        <f>IF(D267=param_bovins!$A$126,param_bovins!$D$126*'Saisie 2_bovins'!$D$21+param_bovins!$E$126,IF(Calculs_bovins!D267=param_bovins!$A$127,param_bovins!$D$127*'Saisie 2_bovins'!$D$21+param_bovins!$E$127,IF(Calculs_bovins!D267=param_bovins!$A$128,param_bovins!$D$128*'Saisie 2_bovins'!$D$21+param_bovins!$E$128,0)))/1000</f>
        <v>0.8</v>
      </c>
      <c r="E270" s="60">
        <f>IF(E267=param_bovins!$A$126,param_bovins!$D$126*'Saisie 2_bovins'!$D$21+param_bovins!$E$126,IF(Calculs_bovins!E267=param_bovins!$A$127,param_bovins!$D$127*'Saisie 2_bovins'!$D$21+param_bovins!$E$127,IF(Calculs_bovins!E267=param_bovins!$A$128,param_bovins!$D$128*'Saisie 2_bovins'!$D$21+param_bovins!$E$128,0)))/1000</f>
        <v>0.8</v>
      </c>
      <c r="F270" s="60">
        <f>IF(F267=param_bovins!$A$126,param_bovins!$D$126*'Saisie 2_bovins'!$D$21+param_bovins!$E$126,IF(Calculs_bovins!F267=param_bovins!$A$127,param_bovins!$D$127*'Saisie 2_bovins'!$D$21+param_bovins!$E$127,IF(Calculs_bovins!F267=param_bovins!$A$128,param_bovins!$D$128*'Saisie 2_bovins'!$D$21+param_bovins!$E$128,0)))/1000</f>
        <v>0.8</v>
      </c>
      <c r="G270" s="60">
        <f>IF(G267=param_bovins!$A$126,param_bovins!$D$126*'Saisie 2_bovins'!$D$21+param_bovins!$E$126,IF(Calculs_bovins!G267=param_bovins!$A$127,param_bovins!$D$127*'Saisie 2_bovins'!$D$21+param_bovins!$E$127,IF(Calculs_bovins!G267=param_bovins!$A$128,param_bovins!$D$128*'Saisie 2_bovins'!$D$21+param_bovins!$E$128,0)))/1000</f>
        <v>0.88</v>
      </c>
      <c r="H270" s="60">
        <f>IF(H267=param_bovins!$A$126,param_bovins!$D$126*'Saisie 2_bovins'!$D$21+param_bovins!$E$126,IF(Calculs_bovins!H267=param_bovins!$A$127,param_bovins!$D$127*'Saisie 2_bovins'!$D$21+param_bovins!$E$127,IF(Calculs_bovins!H267=param_bovins!$A$128,param_bovins!$D$128*'Saisie 2_bovins'!$D$21+param_bovins!$E$128,0)))/1000</f>
        <v>0.88</v>
      </c>
      <c r="I270" s="60">
        <f>IF(I267=param_bovins!$A$126,param_bovins!$D$126*'Saisie 2_bovins'!$D$21+param_bovins!$E$126,IF(Calculs_bovins!I267=param_bovins!$A$127,param_bovins!$D$127*'Saisie 2_bovins'!$D$21+param_bovins!$E$127,IF(Calculs_bovins!I267=param_bovins!$A$128,param_bovins!$D$128*'Saisie 2_bovins'!$D$21+param_bovins!$E$128,0)))/1000</f>
        <v>0.88</v>
      </c>
      <c r="J270" s="60">
        <f>IF(J267=param_bovins!$A$126,param_bovins!$D$126*'Saisie 2_bovins'!$D$21+param_bovins!$E$126,IF(Calculs_bovins!J267=param_bovins!$A$127,param_bovins!$D$127*'Saisie 2_bovins'!$D$21+param_bovins!$E$127,IF(Calculs_bovins!J267=param_bovins!$A$128,param_bovins!$D$128*'Saisie 2_bovins'!$D$21+param_bovins!$E$128,0)))/1000</f>
        <v>0.81</v>
      </c>
      <c r="K270" s="60">
        <f>IF(K267=param_bovins!$A$126,param_bovins!$D$126*'Saisie 2_bovins'!$D$21+param_bovins!$E$126,IF(Calculs_bovins!K267=param_bovins!$A$127,param_bovins!$D$127*'Saisie 2_bovins'!$D$21+param_bovins!$E$127,IF(Calculs_bovins!K267=param_bovins!$A$128,param_bovins!$D$128*'Saisie 2_bovins'!$D$21+param_bovins!$E$128,0)))/1000</f>
        <v>0.81</v>
      </c>
      <c r="L270" s="60">
        <f>IF(L267=param_bovins!$A$126,param_bovins!$D$126*'Saisie 2_bovins'!$D$21+param_bovins!$E$126,IF(Calculs_bovins!L267=param_bovins!$A$127,param_bovins!$D$127*'Saisie 2_bovins'!$D$21+param_bovins!$E$127,IF(Calculs_bovins!L267=param_bovins!$A$128,param_bovins!$D$128*'Saisie 2_bovins'!$D$21+param_bovins!$E$128,0)))/1000</f>
        <v>0.81</v>
      </c>
      <c r="M270" s="60">
        <f>IF(M267=param_bovins!$A$126,param_bovins!$D$126*'Saisie 2_bovins'!$D$21+param_bovins!$E$126,IF(Calculs_bovins!M267=param_bovins!$A$127,param_bovins!$D$127*'Saisie 2_bovins'!$D$21+param_bovins!$E$127,IF(Calculs_bovins!M267=param_bovins!$A$128,param_bovins!$D$128*'Saisie 2_bovins'!$D$21+param_bovins!$E$128,0)))/1000</f>
        <v>0.8</v>
      </c>
      <c r="N270" s="60">
        <f>IF(N267=param_bovins!$A$126,param_bovins!$D$126*'Saisie 2_bovins'!$D$21+param_bovins!$E$126,IF(Calculs_bovins!N267=param_bovins!$A$127,param_bovins!$D$127*'Saisie 2_bovins'!$D$21+param_bovins!$E$127,IF(Calculs_bovins!N267=param_bovins!$A$128,param_bovins!$D$128*'Saisie 2_bovins'!$D$21+param_bovins!$E$128,0)))/1000</f>
        <v>0.8</v>
      </c>
      <c r="O270" s="60">
        <f>IF(O267=param_bovins!$A$126,param_bovins!$D$126*'Saisie 2_bovins'!$D$21+param_bovins!$E$126,IF(Calculs_bovins!O267=param_bovins!$A$127,param_bovins!$D$127*'Saisie 2_bovins'!$D$21+param_bovins!$E$127,IF(Calculs_bovins!O267=param_bovins!$A$128,param_bovins!$D$128*'Saisie 2_bovins'!$D$21+param_bovins!$E$128,0)))/1000</f>
        <v>0.8</v>
      </c>
      <c r="P270" s="30"/>
    </row>
    <row r="271" spans="1:16" x14ac:dyDescent="0.25">
      <c r="A271" t="s">
        <v>150</v>
      </c>
      <c r="B271" t="s">
        <v>329</v>
      </c>
      <c r="C271" t="s">
        <v>315</v>
      </c>
      <c r="D271" s="60">
        <f>IF(D267=param_bovins!$A$126,param_bovins!$F$126*'Saisie 2_bovins'!$D$21+param_bovins!$G$126,IF(Calculs_bovins!D267=param_bovins!$A$127,param_bovins!$F$127*'Saisie 2_bovins'!$D$21+param_bovins!$G$127,IF(Calculs_bovins!D267=param_bovins!$A$128,param_bovins!$F$128*'Saisie 2_bovins'!$D$21+param_bovins!$G$128,0)))/1000</f>
        <v>3.9</v>
      </c>
      <c r="E271" s="60">
        <f>IF(E267=param_bovins!$A$126,param_bovins!$F$126*'Saisie 2_bovins'!$D$21+param_bovins!$G$126,IF(Calculs_bovins!E267=param_bovins!$A$127,param_bovins!$F$127*'Saisie 2_bovins'!$D$21+param_bovins!$G$127,IF(Calculs_bovins!E267=param_bovins!$A$128,param_bovins!$F$128*'Saisie 2_bovins'!$D$21+param_bovins!$G$128,0)))/1000</f>
        <v>3.9</v>
      </c>
      <c r="F271" s="60">
        <f>IF(F267=param_bovins!$A$126,param_bovins!$F$126*'Saisie 2_bovins'!$D$21+param_bovins!$G$126,IF(Calculs_bovins!F267=param_bovins!$A$127,param_bovins!$F$127*'Saisie 2_bovins'!$D$21+param_bovins!$G$127,IF(Calculs_bovins!F267=param_bovins!$A$128,param_bovins!$F$128*'Saisie 2_bovins'!$D$21+param_bovins!$G$128,0)))/1000</f>
        <v>3.9</v>
      </c>
      <c r="G271" s="60">
        <f>IF(G267=param_bovins!$A$126,param_bovins!$F$126*'Saisie 2_bovins'!$D$21+param_bovins!$G$126,IF(Calculs_bovins!G267=param_bovins!$A$127,param_bovins!$F$127*'Saisie 2_bovins'!$D$21+param_bovins!$G$127,IF(Calculs_bovins!G267=param_bovins!$A$128,param_bovins!$F$128*'Saisie 2_bovins'!$D$21+param_bovins!$G$128,0)))/1000</f>
        <v>7.1</v>
      </c>
      <c r="H271" s="60">
        <f>IF(H267=param_bovins!$A$126,param_bovins!$F$126*'Saisie 2_bovins'!$D$21+param_bovins!$G$126,IF(Calculs_bovins!H267=param_bovins!$A$127,param_bovins!$F$127*'Saisie 2_bovins'!$D$21+param_bovins!$G$127,IF(Calculs_bovins!H267=param_bovins!$A$128,param_bovins!$F$128*'Saisie 2_bovins'!$D$21+param_bovins!$G$128,0)))/1000</f>
        <v>7.1</v>
      </c>
      <c r="I271" s="60">
        <f>IF(I267=param_bovins!$A$126,param_bovins!$F$126*'Saisie 2_bovins'!$D$21+param_bovins!$G$126,IF(Calculs_bovins!I267=param_bovins!$A$127,param_bovins!$F$127*'Saisie 2_bovins'!$D$21+param_bovins!$G$127,IF(Calculs_bovins!I267=param_bovins!$A$128,param_bovins!$F$128*'Saisie 2_bovins'!$D$21+param_bovins!$G$128,0)))/1000</f>
        <v>7.1</v>
      </c>
      <c r="J271" s="60">
        <f>IF(J267=param_bovins!$A$126,param_bovins!$F$126*'Saisie 2_bovins'!$D$21+param_bovins!$G$126,IF(Calculs_bovins!J267=param_bovins!$A$127,param_bovins!$F$127*'Saisie 2_bovins'!$D$21+param_bovins!$G$127,IF(Calculs_bovins!J267=param_bovins!$A$128,param_bovins!$F$128*'Saisie 2_bovins'!$D$21+param_bovins!$G$128,0)))/1000</f>
        <v>3.8</v>
      </c>
      <c r="K271" s="60">
        <f>IF(K267=param_bovins!$A$126,param_bovins!$F$126*'Saisie 2_bovins'!$D$21+param_bovins!$G$126,IF(Calculs_bovins!K267=param_bovins!$A$127,param_bovins!$F$127*'Saisie 2_bovins'!$D$21+param_bovins!$G$127,IF(Calculs_bovins!K267=param_bovins!$A$128,param_bovins!$F$128*'Saisie 2_bovins'!$D$21+param_bovins!$G$128,0)))/1000</f>
        <v>3.8</v>
      </c>
      <c r="L271" s="60">
        <f>IF(L267=param_bovins!$A$126,param_bovins!$F$126*'Saisie 2_bovins'!$D$21+param_bovins!$G$126,IF(Calculs_bovins!L267=param_bovins!$A$127,param_bovins!$F$127*'Saisie 2_bovins'!$D$21+param_bovins!$G$127,IF(Calculs_bovins!L267=param_bovins!$A$128,param_bovins!$F$128*'Saisie 2_bovins'!$D$21+param_bovins!$G$128,0)))/1000</f>
        <v>3.8</v>
      </c>
      <c r="M271" s="60">
        <f>IF(M267=param_bovins!$A$126,param_bovins!$F$126*'Saisie 2_bovins'!$D$21+param_bovins!$G$126,IF(Calculs_bovins!M267=param_bovins!$A$127,param_bovins!$F$127*'Saisie 2_bovins'!$D$21+param_bovins!$G$127,IF(Calculs_bovins!M267=param_bovins!$A$128,param_bovins!$F$128*'Saisie 2_bovins'!$D$21+param_bovins!$G$128,0)))/1000</f>
        <v>3.9</v>
      </c>
      <c r="N271" s="60">
        <f>IF(N267=param_bovins!$A$126,param_bovins!$F$126*'Saisie 2_bovins'!$D$21+param_bovins!$G$126,IF(Calculs_bovins!N267=param_bovins!$A$127,param_bovins!$F$127*'Saisie 2_bovins'!$D$21+param_bovins!$G$127,IF(Calculs_bovins!N267=param_bovins!$A$128,param_bovins!$F$128*'Saisie 2_bovins'!$D$21+param_bovins!$G$128,0)))/1000</f>
        <v>3.9</v>
      </c>
      <c r="O271" s="60">
        <f>IF(O267=param_bovins!$A$126,param_bovins!$F$126*'Saisie 2_bovins'!$D$21+param_bovins!$G$126,IF(Calculs_bovins!O267=param_bovins!$A$127,param_bovins!$F$127*'Saisie 2_bovins'!$D$21+param_bovins!$G$127,IF(Calculs_bovins!O267=param_bovins!$A$128,param_bovins!$F$128*'Saisie 2_bovins'!$D$21+param_bovins!$G$128,0)))/1000</f>
        <v>3.9</v>
      </c>
      <c r="P271" s="30"/>
    </row>
    <row r="272" spans="1:16" x14ac:dyDescent="0.25">
      <c r="A272" s="36" t="s">
        <v>291</v>
      </c>
      <c r="B272" s="36"/>
      <c r="C272" s="36" t="s">
        <v>316</v>
      </c>
      <c r="D272" s="72">
        <f>D269*12</f>
        <v>52.199999999999996</v>
      </c>
      <c r="E272" s="72">
        <f t="shared" ref="E272:O272" si="107">E269*12</f>
        <v>52.199999999999996</v>
      </c>
      <c r="F272" s="72">
        <f t="shared" si="107"/>
        <v>52.199999999999996</v>
      </c>
      <c r="G272" s="72">
        <f t="shared" si="107"/>
        <v>71.400000000000006</v>
      </c>
      <c r="H272" s="72">
        <f t="shared" si="107"/>
        <v>71.400000000000006</v>
      </c>
      <c r="I272" s="72">
        <f t="shared" si="107"/>
        <v>71.400000000000006</v>
      </c>
      <c r="J272" s="72">
        <f t="shared" si="107"/>
        <v>40.799999999999997</v>
      </c>
      <c r="K272" s="72">
        <f t="shared" si="107"/>
        <v>40.799999999999997</v>
      </c>
      <c r="L272" s="72">
        <f t="shared" si="107"/>
        <v>40.799999999999997</v>
      </c>
      <c r="M272" s="72">
        <f t="shared" si="107"/>
        <v>52.199999999999996</v>
      </c>
      <c r="N272" s="72">
        <f t="shared" si="107"/>
        <v>52.199999999999996</v>
      </c>
      <c r="O272" s="72">
        <f t="shared" si="107"/>
        <v>52.199999999999996</v>
      </c>
      <c r="P272" s="30"/>
    </row>
    <row r="273" spans="1:16" x14ac:dyDescent="0.25">
      <c r="A273" s="36"/>
      <c r="B273" s="36"/>
      <c r="C273" s="36" t="s">
        <v>317</v>
      </c>
      <c r="D273" s="72">
        <f>D270*12</f>
        <v>9.6000000000000014</v>
      </c>
      <c r="E273" s="72">
        <f t="shared" ref="E273:O273" si="108">E270*12</f>
        <v>9.6000000000000014</v>
      </c>
      <c r="F273" s="72">
        <f t="shared" si="108"/>
        <v>9.6000000000000014</v>
      </c>
      <c r="G273" s="72">
        <f t="shared" si="108"/>
        <v>10.56</v>
      </c>
      <c r="H273" s="72">
        <f t="shared" si="108"/>
        <v>10.56</v>
      </c>
      <c r="I273" s="72">
        <f t="shared" si="108"/>
        <v>10.56</v>
      </c>
      <c r="J273" s="72">
        <f t="shared" si="108"/>
        <v>9.7200000000000006</v>
      </c>
      <c r="K273" s="72">
        <f t="shared" si="108"/>
        <v>9.7200000000000006</v>
      </c>
      <c r="L273" s="72">
        <f t="shared" si="108"/>
        <v>9.7200000000000006</v>
      </c>
      <c r="M273" s="72">
        <f t="shared" si="108"/>
        <v>9.6000000000000014</v>
      </c>
      <c r="N273" s="72">
        <f t="shared" si="108"/>
        <v>9.6000000000000014</v>
      </c>
      <c r="O273" s="72">
        <f t="shared" si="108"/>
        <v>9.6000000000000014</v>
      </c>
      <c r="P273" s="30"/>
    </row>
    <row r="274" spans="1:16" x14ac:dyDescent="0.25">
      <c r="A274" s="36"/>
      <c r="B274" s="36"/>
      <c r="C274" s="36" t="s">
        <v>318</v>
      </c>
      <c r="D274" s="72">
        <f>D271*12</f>
        <v>46.8</v>
      </c>
      <c r="E274" s="72">
        <f t="shared" ref="E274:O274" si="109">E271*12</f>
        <v>46.8</v>
      </c>
      <c r="F274" s="72">
        <f t="shared" si="109"/>
        <v>46.8</v>
      </c>
      <c r="G274" s="72">
        <f t="shared" si="109"/>
        <v>85.199999999999989</v>
      </c>
      <c r="H274" s="72">
        <f t="shared" si="109"/>
        <v>85.199999999999989</v>
      </c>
      <c r="I274" s="72">
        <f t="shared" si="109"/>
        <v>85.199999999999989</v>
      </c>
      <c r="J274" s="72">
        <f t="shared" si="109"/>
        <v>45.599999999999994</v>
      </c>
      <c r="K274" s="72">
        <f t="shared" si="109"/>
        <v>45.599999999999994</v>
      </c>
      <c r="L274" s="72">
        <f t="shared" si="109"/>
        <v>45.599999999999994</v>
      </c>
      <c r="M274" s="72">
        <f t="shared" si="109"/>
        <v>46.8</v>
      </c>
      <c r="N274" s="72">
        <f t="shared" si="109"/>
        <v>46.8</v>
      </c>
      <c r="O274" s="72">
        <f t="shared" si="109"/>
        <v>46.8</v>
      </c>
      <c r="P274" s="30"/>
    </row>
    <row r="275" spans="1:16" x14ac:dyDescent="0.25">
      <c r="A275" s="57"/>
      <c r="B275" s="57"/>
      <c r="C275" s="36" t="s">
        <v>319</v>
      </c>
      <c r="D275" s="72">
        <f>D268/(365.25/12)</f>
        <v>6.5872689938398361</v>
      </c>
      <c r="E275" s="72">
        <f t="shared" ref="E275:O275" si="110">E268/(365.25/12)</f>
        <v>6.5872689938398361</v>
      </c>
      <c r="F275" s="72">
        <f t="shared" si="110"/>
        <v>6.5872689938398361</v>
      </c>
      <c r="G275" s="72">
        <f t="shared" si="110"/>
        <v>8.5749486652977414</v>
      </c>
      <c r="H275" s="72">
        <f t="shared" si="110"/>
        <v>8.5749486652977414</v>
      </c>
      <c r="I275" s="72">
        <f t="shared" si="110"/>
        <v>8.5749486652977414</v>
      </c>
      <c r="J275" s="72">
        <f t="shared" si="110"/>
        <v>6.4229979466119094</v>
      </c>
      <c r="K275" s="72">
        <f t="shared" si="110"/>
        <v>6.4229979466119094</v>
      </c>
      <c r="L275" s="72">
        <f t="shared" si="110"/>
        <v>6.4229979466119094</v>
      </c>
      <c r="M275" s="72">
        <f t="shared" si="110"/>
        <v>6.5872689938398361</v>
      </c>
      <c r="N275" s="72">
        <f t="shared" si="110"/>
        <v>6.5872689938398361</v>
      </c>
      <c r="O275" s="72">
        <f t="shared" si="110"/>
        <v>6.5872689938398361</v>
      </c>
      <c r="P275" s="30"/>
    </row>
    <row r="276" spans="1:16" x14ac:dyDescent="0.25">
      <c r="A276" s="57"/>
      <c r="B276" s="57"/>
      <c r="C276" s="36" t="s">
        <v>320</v>
      </c>
      <c r="D276" s="72">
        <f>IF(D267=param_bovins!$A$101,param_bovins!$F$78*D275,IF(D267=param_bovins!$A$102,param_bovins!$F$79*D275,IF(D267=param_bovins!$A$103,param_bovins!$F$80*D275,IF(D267=param_bovins!$A$104,param_bovins!$F$81*D275,0))))</f>
        <v>4.6110882956878854</v>
      </c>
      <c r="E276" s="72">
        <f>IF(E267=param_bovins!$A$101,param_bovins!$F$78*E275,IF(E267=param_bovins!$A$102,param_bovins!$F$79*E275,IF(E267=param_bovins!$A$103,param_bovins!$F$80*E275,IF(E267=param_bovins!$A$104,param_bovins!$F$81*E275,0))))</f>
        <v>4.6110882956878854</v>
      </c>
      <c r="F276" s="72">
        <f>IF(F267=param_bovins!$A$101,param_bovins!$F$78*F275,IF(F267=param_bovins!$A$102,param_bovins!$F$79*F275,IF(F267=param_bovins!$A$103,param_bovins!$F$80*F275,IF(F267=param_bovins!$A$104,param_bovins!$F$81*F275,0))))</f>
        <v>4.6110882956878854</v>
      </c>
      <c r="G276" s="72">
        <f>IF(G267=param_bovins!$A$101,param_bovins!$F$78*G275,IF(G267=param_bovins!$A$102,param_bovins!$F$79*G275,IF(G267=param_bovins!$A$103,param_bovins!$F$80*G275,IF(G267=param_bovins!$A$104,param_bovins!$F$81*G275,0))))</f>
        <v>7.2887063655030797</v>
      </c>
      <c r="H276" s="72">
        <f>IF(H267=param_bovins!$A$101,param_bovins!$F$78*H275,IF(H267=param_bovins!$A$102,param_bovins!$F$79*H275,IF(H267=param_bovins!$A$103,param_bovins!$F$80*H275,IF(H267=param_bovins!$A$104,param_bovins!$F$81*H275,0))))</f>
        <v>7.2887063655030797</v>
      </c>
      <c r="I276" s="72">
        <f>IF(I267=param_bovins!$A$101,param_bovins!$F$78*I275,IF(I267=param_bovins!$A$102,param_bovins!$F$79*I275,IF(I267=param_bovins!$A$103,param_bovins!$F$80*I275,IF(I267=param_bovins!$A$104,param_bovins!$F$81*I275,0))))</f>
        <v>7.2887063655030797</v>
      </c>
      <c r="J276" s="72">
        <f>IF(J267=param_bovins!$A$101,param_bovins!$F$78*J275,IF(J267=param_bovins!$A$102,param_bovins!$F$79*J275,IF(J267=param_bovins!$A$103,param_bovins!$F$80*J275,IF(J267=param_bovins!$A$104,param_bovins!$F$81*J275,0))))</f>
        <v>3.8537987679671453</v>
      </c>
      <c r="K276" s="72">
        <f>IF(K267=param_bovins!$A$101,param_bovins!$F$78*K275,IF(K267=param_bovins!$A$102,param_bovins!$F$79*K275,IF(K267=param_bovins!$A$103,param_bovins!$F$80*K275,IF(K267=param_bovins!$A$104,param_bovins!$F$81*K275,0))))</f>
        <v>3.8537987679671453</v>
      </c>
      <c r="L276" s="72">
        <f>IF(L267=param_bovins!$A$101,param_bovins!$F$78*L275,IF(L267=param_bovins!$A$102,param_bovins!$F$79*L275,IF(L267=param_bovins!$A$103,param_bovins!$F$80*L275,IF(L267=param_bovins!$A$104,param_bovins!$F$81*L275,0))))</f>
        <v>3.8537987679671453</v>
      </c>
      <c r="M276" s="72">
        <f>IF(M267=param_bovins!$A$101,param_bovins!$F$78*M275,IF(M267=param_bovins!$A$102,param_bovins!$F$79*M275,IF(M267=param_bovins!$A$103,param_bovins!$F$80*M275,IF(M267=param_bovins!$A$104,param_bovins!$F$81*M275,0))))</f>
        <v>4.6110882956878854</v>
      </c>
      <c r="N276" s="72">
        <f>IF(N267=param_bovins!$A$101,param_bovins!$F$78*N275,IF(N267=param_bovins!$A$102,param_bovins!$F$79*N275,IF(N267=param_bovins!$A$103,param_bovins!$F$80*N275,IF(N267=param_bovins!$A$104,param_bovins!$F$81*N275,0))))</f>
        <v>4.6110882956878854</v>
      </c>
      <c r="O276" s="72">
        <f>IF(O267=param_bovins!$A$101,param_bovins!$F$78*O275,IF(O267=param_bovins!$A$102,param_bovins!$F$79*O275,IF(O267=param_bovins!$A$103,param_bovins!$F$80*O275,IF(O267=param_bovins!$A$104,param_bovins!$F$81*O275,0))))</f>
        <v>4.6110882956878854</v>
      </c>
      <c r="P276" s="30"/>
    </row>
    <row r="277" spans="1:16" x14ac:dyDescent="0.25">
      <c r="A277" s="12"/>
      <c r="B277" s="12"/>
      <c r="C277" s="42"/>
      <c r="P277" s="30"/>
    </row>
    <row r="278" spans="1:16" x14ac:dyDescent="0.25">
      <c r="A278" t="s">
        <v>321</v>
      </c>
      <c r="B278" s="33"/>
      <c r="C278" t="s">
        <v>322</v>
      </c>
      <c r="D278">
        <f>'Feuille saisie commune'!$E$9</f>
        <v>18</v>
      </c>
      <c r="E278">
        <f>'Feuille saisie commune'!$E$9</f>
        <v>18</v>
      </c>
      <c r="F278">
        <f>'Feuille saisie commune'!$E$9</f>
        <v>18</v>
      </c>
      <c r="G278">
        <f>'Feuille saisie commune'!$E$9</f>
        <v>18</v>
      </c>
      <c r="H278">
        <f>'Feuille saisie commune'!$E$9</f>
        <v>18</v>
      </c>
      <c r="I278">
        <f>'Feuille saisie commune'!$E$9</f>
        <v>18</v>
      </c>
      <c r="J278">
        <f>'Feuille saisie commune'!$E$9</f>
        <v>18</v>
      </c>
      <c r="K278">
        <f>'Feuille saisie commune'!$E$9</f>
        <v>18</v>
      </c>
      <c r="L278">
        <f>'Feuille saisie commune'!$E$9</f>
        <v>18</v>
      </c>
      <c r="M278">
        <f>'Feuille saisie commune'!$E$9</f>
        <v>18</v>
      </c>
      <c r="N278">
        <f>'Feuille saisie commune'!$E$9</f>
        <v>18</v>
      </c>
      <c r="O278">
        <f>'Feuille saisie commune'!$E$9</f>
        <v>18</v>
      </c>
      <c r="P278" s="30"/>
    </row>
    <row r="279" spans="1:16" x14ac:dyDescent="0.25">
      <c r="A279" s="33" t="s">
        <v>204</v>
      </c>
      <c r="B279" t="s">
        <v>288</v>
      </c>
      <c r="C279" s="33" t="s">
        <v>205</v>
      </c>
      <c r="D279" s="28">
        <f>'Saisie 2_bovins'!G21/(365.25/12)</f>
        <v>1.0020533880903491</v>
      </c>
      <c r="E279" s="28">
        <f>'Saisie 2_bovins'!H21/(365.25/12)</f>
        <v>1.0020533880903491</v>
      </c>
      <c r="F279" s="28">
        <f>'Saisie 2_bovins'!I21/(365.25/12)</f>
        <v>1.0020533880903491</v>
      </c>
      <c r="G279" s="28">
        <f>'Saisie 2_bovins'!J21/(365.25/12)</f>
        <v>0</v>
      </c>
      <c r="H279" s="28">
        <f>'Saisie 2_bovins'!K21/(365.25/12)</f>
        <v>0</v>
      </c>
      <c r="I279" s="28">
        <f>'Saisie 2_bovins'!L21/(365.25/12)</f>
        <v>0</v>
      </c>
      <c r="J279" s="28">
        <f>'Saisie 2_bovins'!M21/(365.25/12)</f>
        <v>0</v>
      </c>
      <c r="K279" s="28">
        <f>'Saisie 2_bovins'!N21/(365.25/12)</f>
        <v>0</v>
      </c>
      <c r="L279" s="28">
        <f>'Saisie 2_bovins'!O21/(365.25/12)</f>
        <v>0</v>
      </c>
      <c r="M279" s="28">
        <f>'Saisie 2_bovins'!P21/(365.25/12)</f>
        <v>1.0020533880903491</v>
      </c>
      <c r="N279" s="28">
        <f>'Saisie 2_bovins'!Q21/(365.25/12)</f>
        <v>1.0020533880903491</v>
      </c>
      <c r="O279" s="28">
        <f>'Saisie 2_bovins'!R21/(365.25/12)</f>
        <v>1.0020533880903491</v>
      </c>
      <c r="P279" s="30"/>
    </row>
    <row r="280" spans="1:16" x14ac:dyDescent="0.25">
      <c r="A280" s="33" t="s">
        <v>207</v>
      </c>
      <c r="B280" t="s">
        <v>332</v>
      </c>
      <c r="C280" t="s">
        <v>213</v>
      </c>
      <c r="D280" s="60">
        <f>D269*D$279*D$278</f>
        <v>78.460780287474336</v>
      </c>
      <c r="E280" s="60">
        <f t="shared" ref="E280:O280" si="111">E269*E$279*E$278</f>
        <v>78.460780287474336</v>
      </c>
      <c r="F280" s="60">
        <f t="shared" si="111"/>
        <v>78.460780287474336</v>
      </c>
      <c r="G280" s="60">
        <f t="shared" si="111"/>
        <v>0</v>
      </c>
      <c r="H280" s="60">
        <f t="shared" si="111"/>
        <v>0</v>
      </c>
      <c r="I280" s="60">
        <f t="shared" si="111"/>
        <v>0</v>
      </c>
      <c r="J280" s="60">
        <f t="shared" si="111"/>
        <v>0</v>
      </c>
      <c r="K280" s="60">
        <f t="shared" si="111"/>
        <v>0</v>
      </c>
      <c r="L280" s="60">
        <f t="shared" si="111"/>
        <v>0</v>
      </c>
      <c r="M280" s="60">
        <f t="shared" si="111"/>
        <v>78.460780287474336</v>
      </c>
      <c r="N280" s="60">
        <f t="shared" si="111"/>
        <v>78.460780287474336</v>
      </c>
      <c r="O280" s="60">
        <f t="shared" si="111"/>
        <v>78.460780287474336</v>
      </c>
      <c r="P280" s="30"/>
    </row>
    <row r="281" spans="1:16" x14ac:dyDescent="0.25">
      <c r="A281" s="33" t="s">
        <v>209</v>
      </c>
      <c r="B281" t="s">
        <v>333</v>
      </c>
      <c r="C281" t="s">
        <v>214</v>
      </c>
      <c r="D281" s="60">
        <f t="shared" ref="D281:O282" si="112">D270*D$279*D$278</f>
        <v>14.429568788501028</v>
      </c>
      <c r="E281" s="60">
        <f t="shared" si="112"/>
        <v>14.429568788501028</v>
      </c>
      <c r="F281" s="60">
        <f t="shared" si="112"/>
        <v>14.429568788501028</v>
      </c>
      <c r="G281" s="60">
        <f t="shared" si="112"/>
        <v>0</v>
      </c>
      <c r="H281" s="60">
        <f t="shared" si="112"/>
        <v>0</v>
      </c>
      <c r="I281" s="60">
        <f t="shared" si="112"/>
        <v>0</v>
      </c>
      <c r="J281" s="60">
        <f t="shared" si="112"/>
        <v>0</v>
      </c>
      <c r="K281" s="60">
        <f t="shared" si="112"/>
        <v>0</v>
      </c>
      <c r="L281" s="60">
        <f t="shared" si="112"/>
        <v>0</v>
      </c>
      <c r="M281" s="60">
        <f t="shared" si="112"/>
        <v>14.429568788501028</v>
      </c>
      <c r="N281" s="60">
        <f t="shared" si="112"/>
        <v>14.429568788501028</v>
      </c>
      <c r="O281" s="60">
        <f t="shared" si="112"/>
        <v>14.429568788501028</v>
      </c>
      <c r="P281" s="30"/>
    </row>
    <row r="282" spans="1:16" x14ac:dyDescent="0.25">
      <c r="A282" s="33" t="s">
        <v>208</v>
      </c>
      <c r="B282" t="s">
        <v>334</v>
      </c>
      <c r="C282" t="s">
        <v>215</v>
      </c>
      <c r="D282" s="60">
        <f t="shared" si="112"/>
        <v>70.344147843942508</v>
      </c>
      <c r="E282" s="60">
        <f t="shared" si="112"/>
        <v>70.344147843942508</v>
      </c>
      <c r="F282" s="60">
        <f t="shared" si="112"/>
        <v>70.344147843942508</v>
      </c>
      <c r="G282" s="60">
        <f t="shared" si="112"/>
        <v>0</v>
      </c>
      <c r="H282" s="60">
        <f t="shared" si="112"/>
        <v>0</v>
      </c>
      <c r="I282" s="60">
        <f t="shared" si="112"/>
        <v>0</v>
      </c>
      <c r="J282" s="60">
        <f t="shared" si="112"/>
        <v>0</v>
      </c>
      <c r="K282" s="60">
        <f t="shared" si="112"/>
        <v>0</v>
      </c>
      <c r="L282" s="60">
        <f t="shared" si="112"/>
        <v>0</v>
      </c>
      <c r="M282" s="60">
        <f t="shared" si="112"/>
        <v>70.344147843942508</v>
      </c>
      <c r="N282" s="60">
        <f t="shared" si="112"/>
        <v>70.344147843942508</v>
      </c>
      <c r="O282" s="60">
        <f t="shared" si="112"/>
        <v>70.344147843942508</v>
      </c>
      <c r="P282" s="30"/>
    </row>
    <row r="283" spans="1:16" x14ac:dyDescent="0.25">
      <c r="P283" s="30"/>
    </row>
    <row r="284" spans="1:16" x14ac:dyDescent="0.25">
      <c r="A284" s="42" t="s">
        <v>265</v>
      </c>
      <c r="B284" s="42"/>
      <c r="C284" s="42" t="s">
        <v>335</v>
      </c>
      <c r="D284">
        <f>'Feuille saisie commune'!G9</f>
        <v>5</v>
      </c>
      <c r="P284" s="30"/>
    </row>
    <row r="285" spans="1:16" x14ac:dyDescent="0.25">
      <c r="A285" s="33" t="s">
        <v>262</v>
      </c>
      <c r="B285" t="s">
        <v>336</v>
      </c>
      <c r="C285" s="47" t="s">
        <v>263</v>
      </c>
      <c r="D285">
        <f>$D$284*D278*D279*(365.25/12)</f>
        <v>2745</v>
      </c>
      <c r="E285">
        <f t="shared" ref="E285:O285" si="113">$D$284*E278*E279*(365.25/12)</f>
        <v>2745</v>
      </c>
      <c r="F285">
        <f t="shared" si="113"/>
        <v>2745</v>
      </c>
      <c r="G285">
        <f t="shared" si="113"/>
        <v>0</v>
      </c>
      <c r="H285">
        <f t="shared" si="113"/>
        <v>0</v>
      </c>
      <c r="I285">
        <f t="shared" si="113"/>
        <v>0</v>
      </c>
      <c r="J285">
        <f t="shared" si="113"/>
        <v>0</v>
      </c>
      <c r="K285">
        <f t="shared" si="113"/>
        <v>0</v>
      </c>
      <c r="L285">
        <f t="shared" si="113"/>
        <v>0</v>
      </c>
      <c r="M285">
        <f t="shared" si="113"/>
        <v>2745</v>
      </c>
      <c r="N285">
        <f t="shared" si="113"/>
        <v>2745</v>
      </c>
      <c r="O285">
        <f t="shared" si="113"/>
        <v>2745</v>
      </c>
      <c r="P285" s="30"/>
    </row>
    <row r="286" spans="1:16" x14ac:dyDescent="0.25">
      <c r="A286" s="33" t="s">
        <v>267</v>
      </c>
      <c r="B286" t="s">
        <v>270</v>
      </c>
      <c r="C286" t="s">
        <v>246</v>
      </c>
      <c r="D286" s="60">
        <f>D285*param_bovins!$D$160*param_bovins!$A$160/1000</f>
        <v>13.527359999999998</v>
      </c>
      <c r="E286" s="60">
        <f>E285*param_bovins!$D$160*param_bovins!$A$160/1000</f>
        <v>13.527359999999998</v>
      </c>
      <c r="F286" s="60">
        <f>F285*param_bovins!$D$160*param_bovins!$A$160/1000</f>
        <v>13.527359999999998</v>
      </c>
      <c r="G286" s="60">
        <f>G285*param_bovins!$D$160*param_bovins!$A$160/1000</f>
        <v>0</v>
      </c>
      <c r="H286" s="60">
        <f>H285*param_bovins!$D$160*param_bovins!$A$160/1000</f>
        <v>0</v>
      </c>
      <c r="I286" s="60">
        <f>I285*param_bovins!$D$160*param_bovins!$A$160/1000</f>
        <v>0</v>
      </c>
      <c r="J286" s="60">
        <f>J285*param_bovins!$D$160*param_bovins!$A$160/1000</f>
        <v>0</v>
      </c>
      <c r="K286" s="60">
        <f>K285*param_bovins!$D$160*param_bovins!$A$160/1000</f>
        <v>0</v>
      </c>
      <c r="L286" s="60">
        <f>L285*param_bovins!$D$160*param_bovins!$A$160/1000</f>
        <v>0</v>
      </c>
      <c r="M286" s="60">
        <f>M285*param_bovins!$D$160*param_bovins!$A$160/1000</f>
        <v>13.527359999999998</v>
      </c>
      <c r="N286" s="60">
        <f>N285*param_bovins!$D$160*param_bovins!$A$160/1000</f>
        <v>13.527359999999998</v>
      </c>
      <c r="O286" s="60">
        <f>O285*param_bovins!$D$160*param_bovins!$A$160/1000</f>
        <v>13.527359999999998</v>
      </c>
      <c r="P286" s="30"/>
    </row>
    <row r="287" spans="1:16" x14ac:dyDescent="0.25">
      <c r="A287" s="33" t="s">
        <v>268</v>
      </c>
      <c r="B287" s="33"/>
      <c r="C287" t="s">
        <v>249</v>
      </c>
      <c r="D287">
        <f>D285*param_bovins!$D$160*param_bovins!$B$160/1000</f>
        <v>2.4156</v>
      </c>
      <c r="E287">
        <f>E285*param_bovins!$D$160*param_bovins!$B$160/1000</f>
        <v>2.4156</v>
      </c>
      <c r="F287">
        <f>F285*param_bovins!$D$160*param_bovins!$B$160/1000</f>
        <v>2.4156</v>
      </c>
      <c r="G287">
        <f>G285*param_bovins!$D$160*param_bovins!$B$160/1000</f>
        <v>0</v>
      </c>
      <c r="H287">
        <f>H285*param_bovins!$D$160*param_bovins!$B$160/1000</f>
        <v>0</v>
      </c>
      <c r="I287">
        <f>I285*param_bovins!$D$160*param_bovins!$B$160/1000</f>
        <v>0</v>
      </c>
      <c r="J287">
        <f>J285*param_bovins!$D$160*param_bovins!$B$160/1000</f>
        <v>0</v>
      </c>
      <c r="K287">
        <f>K285*param_bovins!$D$160*param_bovins!$B$160/1000</f>
        <v>0</v>
      </c>
      <c r="L287">
        <f>L285*param_bovins!$D$160*param_bovins!$B$160/1000</f>
        <v>0</v>
      </c>
      <c r="M287">
        <f>M285*param_bovins!$D$160*param_bovins!$B$160/1000</f>
        <v>2.4156</v>
      </c>
      <c r="N287">
        <f>N285*param_bovins!$D$160*param_bovins!$B$160/1000</f>
        <v>2.4156</v>
      </c>
      <c r="O287">
        <f>O285*param_bovins!$D$160*param_bovins!$B$160/1000</f>
        <v>2.4156</v>
      </c>
      <c r="P287" s="30"/>
    </row>
    <row r="288" spans="1:16" x14ac:dyDescent="0.25">
      <c r="A288" s="33" t="s">
        <v>269</v>
      </c>
      <c r="B288" s="33"/>
      <c r="C288" t="s">
        <v>271</v>
      </c>
      <c r="D288" s="60">
        <f>D285*param_bovins!$D$160*param_bovins!$C$160/1000</f>
        <v>20.753868960000002</v>
      </c>
      <c r="E288" s="60">
        <f>E285*param_bovins!$D$160*param_bovins!$C$160/1000</f>
        <v>20.753868960000002</v>
      </c>
      <c r="F288" s="60">
        <f>F285*param_bovins!$D$160*param_bovins!$C$160/1000</f>
        <v>20.753868960000002</v>
      </c>
      <c r="G288" s="60">
        <f>G285*param_bovins!$D$160*param_bovins!$C$160/1000</f>
        <v>0</v>
      </c>
      <c r="H288" s="60">
        <f>H285*param_bovins!$D$160*param_bovins!$C$160/1000</f>
        <v>0</v>
      </c>
      <c r="I288" s="60">
        <f>I285*param_bovins!$D$160*param_bovins!$C$160/1000</f>
        <v>0</v>
      </c>
      <c r="J288" s="60">
        <f>J285*param_bovins!$D$160*param_bovins!$C$160/1000</f>
        <v>0</v>
      </c>
      <c r="K288" s="60">
        <f>K285*param_bovins!$D$160*param_bovins!$C$160/1000</f>
        <v>0</v>
      </c>
      <c r="L288" s="60">
        <f>L285*param_bovins!$D$160*param_bovins!$C$160/1000</f>
        <v>0</v>
      </c>
      <c r="M288" s="60">
        <f>M285*param_bovins!$D$160*param_bovins!$C$160/1000</f>
        <v>20.753868960000002</v>
      </c>
      <c r="N288" s="60">
        <f>N285*param_bovins!$D$160*param_bovins!$C$160/1000</f>
        <v>20.753868960000002</v>
      </c>
      <c r="O288" s="60">
        <f>O285*param_bovins!$D$160*param_bovins!$C$160/1000</f>
        <v>20.753868960000002</v>
      </c>
      <c r="P288" s="30"/>
    </row>
    <row r="289" spans="1:16" x14ac:dyDescent="0.25">
      <c r="A289" s="33"/>
      <c r="B289" s="33"/>
      <c r="P289" s="30"/>
    </row>
    <row r="290" spans="1:16" x14ac:dyDescent="0.25">
      <c r="A290" s="9" t="s">
        <v>5</v>
      </c>
      <c r="B290" s="9"/>
      <c r="C290" s="9"/>
      <c r="D290" t="str">
        <f>'Feuille saisie commune'!F9</f>
        <v>Litière accumulée intégrale</v>
      </c>
      <c r="P290" s="30"/>
    </row>
    <row r="291" spans="1:16" x14ac:dyDescent="0.25">
      <c r="A291" s="9"/>
      <c r="B291" s="9"/>
      <c r="C291" s="9"/>
      <c r="P291" s="30"/>
    </row>
    <row r="292" spans="1:16" x14ac:dyDescent="0.25">
      <c r="A292" t="s">
        <v>242</v>
      </c>
      <c r="C292" t="s">
        <v>205</v>
      </c>
      <c r="D292">
        <f>IF(D290="Logette, lisier",param_bovins!B107,IF(D290="Etable entravée, lisier",param_bovins!B108,IF(D290="Litière accumulée, couloir lisier",param_bovins!B109,IF(D290="Logette, mixte lisier/fumier",param_bovins!B110,IF(D290="Etable entravée, fumier",param_bovins!B111,IF(D290="Pente paillée",param_bovins!B112,IF(D290="Logette, fumier",param_bovins!B113,IF(D290=param_bovins!A114,param_bovins!B114,IF(D290=param_bovins!A115,param_bovins!B115,#N/A)))))))))</f>
        <v>0</v>
      </c>
      <c r="P292" s="30"/>
    </row>
    <row r="293" spans="1:16" x14ac:dyDescent="0.25">
      <c r="A293" t="s">
        <v>243</v>
      </c>
      <c r="C293" t="s">
        <v>205</v>
      </c>
      <c r="D293">
        <f>IF(D290="Logette, lisier",param_bovins!C107,IF(D290="Etable entravée, lisier",param_bovins!C108,IF(D290="Litière accumulée, couloir lisier",param_bovins!C109,IF(D290="Logette, mixte lisier/fumier",param_bovins!C110,IF(D290="Etable entravée, fumier",param_bovins!C111,IF(D290="Pente paillée",param_bovins!C112,IF(D290="Logette, fumier",param_bovins!C113,IF(D290=param_bovins!A114,param_bovins!C114,IF(D290=param_bovins!A115,param_bovins!C115,#N/A)))))))))</f>
        <v>1</v>
      </c>
      <c r="P293" s="30"/>
    </row>
    <row r="294" spans="1:16" x14ac:dyDescent="0.25">
      <c r="A294" t="s">
        <v>244</v>
      </c>
      <c r="B294" s="33"/>
      <c r="C294" t="s">
        <v>205</v>
      </c>
      <c r="D294">
        <f>IF(D290="Logette, mixte lisier/fumier",param_bovins!D66,IF(D290="Etable entravée, fumier",param_bovins!D67,IF(D290="Pente paillée",param_bovins!D68,IF(D290="Logette, fumier",param_bovins!D69,IF(D290=param_bovins!A70,param_bovins!D70,0)))))</f>
        <v>0</v>
      </c>
      <c r="P294" s="30"/>
    </row>
    <row r="295" spans="1:16" x14ac:dyDescent="0.25">
      <c r="A295" s="9" t="s">
        <v>294</v>
      </c>
      <c r="B295" s="9"/>
      <c r="C295" s="9" t="s">
        <v>50</v>
      </c>
      <c r="D295">
        <f>IF(D290=param_bovins!A109,param_bovins!F109,IF(D290=param_bovins!A110,param_bovins!F110,IF(D290=param_bovins!A111,param_bovins!F111,IF(D290=param_bovins!A112,param_bovins!F112,IF(D290=param_bovins!A113,param_bovins!F113,IF(D290=param_bovins!A114,param_bovins!F114,IF(D290=param_bovins!A115,param_bovins!F115,0)))))))</f>
        <v>0.6</v>
      </c>
      <c r="P295" s="30"/>
    </row>
    <row r="296" spans="1:16" x14ac:dyDescent="0.25">
      <c r="A296" s="33" t="s">
        <v>152</v>
      </c>
      <c r="B296" s="9"/>
      <c r="C296" s="33" t="s">
        <v>732</v>
      </c>
      <c r="D296">
        <f>IF(D290="Logette, lisier",param_bovins!G107,IF(D290="Etable entravée, lisier",param_bovins!G108,IF(D290="Litière accumulée, couloir lisier",param_bovins!G109,IF(D290="Logette, mixte lisier/fumier",param_bovins!G110,IF(D290="Etable entravée, fumier",param_bovins!G111,IF(D290="Pente paillée",param_bovins!G112,IF(D290="Logette, fumier",param_bovins!G113,IF(D290=param_bovins!A114,param_bovins!G114,IF(D290=param_bovins!A115,param_bovins!G115,#N/A)))))))))</f>
        <v>13.5</v>
      </c>
      <c r="P296" s="30"/>
    </row>
    <row r="297" spans="1:16" x14ac:dyDescent="0.25">
      <c r="A297" s="33" t="s">
        <v>734</v>
      </c>
      <c r="B297" s="33"/>
      <c r="C297" t="s">
        <v>205</v>
      </c>
      <c r="D297">
        <f>IF(D290="Logette, mixte lisier/fumier",IF('Saisie 2_bovins'!C44="couverte", param_bovins!H66, param_bovins!I66), IF(D290="Etable entravée, fumier",IF('Saisie 2_bovins'!C44="couverte",param_bovins!H67,param_bovins!I67),IF(D290="Pente paillée",IF('Saisie 2_bovins'!C44="couverte",param_bovins!H68,param_bovins!I68),IF(D290="Logette, fumier",IF('Saisie 2_bovins'!C44="couverte",param_bovins!H69, param_bovins!I69),IF(D290=param_bovins!A70,IF('Saisie 2_bovins'!C44="couverte",param_bovins!H70,param_bovins!I70),IF(D290=param_bovins!A71,IF('Saisie 2_bovins'!C44="couverte",param_bovins!H71,param_bovins!I71),IF(D290=param_bovins!A65,IF('Saisie 2_bovins'!C44="couverte",param_bovins!H65,param_bovins!I65),0)))))))</f>
        <v>0.01</v>
      </c>
      <c r="P297" s="30"/>
    </row>
    <row r="298" spans="1:16" x14ac:dyDescent="0.25">
      <c r="A298" s="33" t="s">
        <v>735</v>
      </c>
      <c r="B298" s="33"/>
      <c r="C298" t="s">
        <v>205</v>
      </c>
      <c r="D298">
        <f>IF(D290="Logette, mixte lisier/fumier",IF('Saisie 2_bovins'!C44="couverte", param_bovins!J66, param_bovins!K66), IF(D290="Etable entravée, fumier",IF('Saisie 2_bovins'!C44="couverte",param_bovins!J67,param_bovins!K67),IF(D290="Pente paillée",IF('Saisie 2_bovins'!C44="couverte",param_bovins!J68,param_bovins!K68),IF(D290="Logette, fumier",IF('Saisie 2_bovins'!C44="couverte",param_bovins!J69, param_bovins!K69),IF(D290=param_bovins!A70,IF('Saisie 2_bovins'!C44="couverte",param_bovins!J70,param_bovins!K70),IF(D290=param_bovins!A71,IF('Saisie 2_bovins'!C44="couverte",param_bovins!J71,param_bovins!K71),IF(D290=param_bovins!A65,IF('Saisie 2_bovins'!C44="couverte",param_bovins!J65,param_bovins!K65),0)))))))</f>
        <v>9.0000000000000011E-3</v>
      </c>
      <c r="P298" s="30"/>
    </row>
    <row r="299" spans="1:16" x14ac:dyDescent="0.25">
      <c r="A299" s="33" t="s">
        <v>736</v>
      </c>
      <c r="B299" s="33"/>
      <c r="C299" t="s">
        <v>205</v>
      </c>
      <c r="D299">
        <f>IF(D290="Logette, mixte lisier/fumier",IF('Saisie 2_bovins'!C44="couverte", param_bovins!L66, param_bovins!M66), IF(D290="Etable entravée, fumier",IF('Saisie 2_bovins'!C44="couverte",param_bovins!L67,param_bovins!M67),IF(D290="Pente paillée",IF('Saisie 2_bovins'!C44="couverte",param_bovins!L68,param_bovins!M68),IF(D290="Logette, fumier",IF('Saisie 2_bovins'!C44="couverte",param_bovins!L69, param_bovins!M69),IF(D290=param_bovins!A70,IF('Saisie 2_bovins'!C44="couverte",param_bovins!L70,param_bovins!M70),IF(D290=param_bovins!A71,IF('Saisie 2_bovins'!C44="couverte",param_bovins!L71,param_bovins!M71),IF(D290=param_bovins!A65,IF('Saisie 2_bovins'!C44="couverte",param_bovins!L65,param_bovins!M65),0)))))))</f>
        <v>1.0999999999999999E-2</v>
      </c>
      <c r="P299" s="30"/>
    </row>
    <row r="300" spans="1:16" x14ac:dyDescent="0.25">
      <c r="A300" t="s">
        <v>782</v>
      </c>
      <c r="B300" s="33"/>
      <c r="C300" t="s">
        <v>783</v>
      </c>
      <c r="D300">
        <f>IF(D290=param_bovins!A109,param_bovins!N109,IF(D290=param_bovins!A110,param_bovins!N110,IF(D290=param_bovins!A111,param_bovins!N111,IF(D290=param_bovins!A112,param_bovins!N112,IF(D290=param_bovins!A113,param_bovins!N113,IF(D290=param_bovins!A114,param_bovins!N114,IF(D290=param_bovins!A115,param_bovins!N115,0)))))))</f>
        <v>22.1</v>
      </c>
      <c r="P300" s="30"/>
    </row>
    <row r="301" spans="1:16" x14ac:dyDescent="0.25">
      <c r="A301" s="33"/>
      <c r="B301" s="33"/>
      <c r="C301" s="33"/>
      <c r="P301" s="30"/>
    </row>
    <row r="302" spans="1:16" x14ac:dyDescent="0.25">
      <c r="A302" t="s">
        <v>220</v>
      </c>
      <c r="B302" s="33" t="s">
        <v>227</v>
      </c>
      <c r="C302" t="s">
        <v>337</v>
      </c>
      <c r="D302">
        <f>param_bovins!D8*Calculs_bovins!D292</f>
        <v>0</v>
      </c>
      <c r="P302" s="30"/>
    </row>
    <row r="303" spans="1:16" x14ac:dyDescent="0.25">
      <c r="A303" t="s">
        <v>221</v>
      </c>
      <c r="B303" t="s">
        <v>226</v>
      </c>
      <c r="C303" t="s">
        <v>337</v>
      </c>
      <c r="D303">
        <f>IF(D295&lt;=0,0,param_bovins!B8*D296*Calculs_bovins!D293/Calculs_bovins!D295)</f>
        <v>13.5</v>
      </c>
      <c r="G303" s="9">
        <f>D303*D295</f>
        <v>8.1</v>
      </c>
      <c r="H303" s="9" t="s">
        <v>303</v>
      </c>
      <c r="P303" s="30"/>
    </row>
    <row r="304" spans="1:16" x14ac:dyDescent="0.25">
      <c r="A304" t="s">
        <v>222</v>
      </c>
      <c r="B304" t="s">
        <v>228</v>
      </c>
      <c r="C304" t="s">
        <v>337</v>
      </c>
      <c r="D304">
        <f>D303*D294</f>
        <v>0</v>
      </c>
      <c r="P304" s="30"/>
    </row>
    <row r="305" spans="1:16" x14ac:dyDescent="0.25">
      <c r="P305" s="30"/>
    </row>
    <row r="306" spans="1:16" x14ac:dyDescent="0.25">
      <c r="A306" t="s">
        <v>338</v>
      </c>
      <c r="B306" t="s">
        <v>339</v>
      </c>
      <c r="C306" t="s">
        <v>205</v>
      </c>
      <c r="D306">
        <f>param_bovins!$B$121</f>
        <v>1</v>
      </c>
      <c r="E306">
        <f>param_bovins!$B$121</f>
        <v>1</v>
      </c>
      <c r="F306">
        <f>param_bovins!$B$121</f>
        <v>1</v>
      </c>
      <c r="G306">
        <f>param_bovins!$B$121</f>
        <v>1</v>
      </c>
      <c r="H306">
        <f>param_bovins!$B$121</f>
        <v>1</v>
      </c>
      <c r="I306">
        <f>param_bovins!$B$121</f>
        <v>1</v>
      </c>
      <c r="J306">
        <f>param_bovins!$B$121</f>
        <v>1</v>
      </c>
      <c r="K306">
        <f>param_bovins!$B$121</f>
        <v>1</v>
      </c>
      <c r="L306">
        <f>param_bovins!$B$121</f>
        <v>1</v>
      </c>
      <c r="M306">
        <f>param_bovins!$B$121</f>
        <v>1</v>
      </c>
      <c r="N306">
        <f>param_bovins!$B$121</f>
        <v>1</v>
      </c>
      <c r="O306">
        <f>param_bovins!$B$121</f>
        <v>1</v>
      </c>
      <c r="P306" s="30"/>
    </row>
    <row r="307" spans="1:16" x14ac:dyDescent="0.25">
      <c r="P307" s="30"/>
    </row>
    <row r="308" spans="1:16" x14ac:dyDescent="0.25">
      <c r="A308" s="33" t="s">
        <v>210</v>
      </c>
      <c r="B308" s="33" t="s">
        <v>340</v>
      </c>
      <c r="C308" t="s">
        <v>341</v>
      </c>
      <c r="D308" s="60">
        <f>$D$302*D306/12</f>
        <v>0</v>
      </c>
      <c r="E308" s="60">
        <f t="shared" ref="E308:O308" si="114">$D$302*E306/12</f>
        <v>0</v>
      </c>
      <c r="F308" s="60">
        <f t="shared" si="114"/>
        <v>0</v>
      </c>
      <c r="G308" s="60">
        <f t="shared" si="114"/>
        <v>0</v>
      </c>
      <c r="H308" s="60">
        <f t="shared" si="114"/>
        <v>0</v>
      </c>
      <c r="I308" s="60">
        <f t="shared" si="114"/>
        <v>0</v>
      </c>
      <c r="J308" s="60">
        <f t="shared" si="114"/>
        <v>0</v>
      </c>
      <c r="K308" s="60">
        <f t="shared" si="114"/>
        <v>0</v>
      </c>
      <c r="L308" s="60">
        <f t="shared" si="114"/>
        <v>0</v>
      </c>
      <c r="M308" s="60">
        <f t="shared" si="114"/>
        <v>0</v>
      </c>
      <c r="N308" s="60">
        <f t="shared" si="114"/>
        <v>0</v>
      </c>
      <c r="O308" s="60">
        <f t="shared" si="114"/>
        <v>0</v>
      </c>
      <c r="P308" s="30"/>
    </row>
    <row r="309" spans="1:16" x14ac:dyDescent="0.25">
      <c r="A309" s="33" t="s">
        <v>211</v>
      </c>
      <c r="B309" s="33" t="s">
        <v>340</v>
      </c>
      <c r="C309" t="s">
        <v>341</v>
      </c>
      <c r="D309" s="60">
        <f>$D$303*D306/12</f>
        <v>1.125</v>
      </c>
      <c r="E309" s="60">
        <f t="shared" ref="E309:O309" si="115">$D$303*E306/12</f>
        <v>1.125</v>
      </c>
      <c r="F309" s="60">
        <f t="shared" si="115"/>
        <v>1.125</v>
      </c>
      <c r="G309" s="60">
        <f t="shared" si="115"/>
        <v>1.125</v>
      </c>
      <c r="H309" s="60">
        <f t="shared" si="115"/>
        <v>1.125</v>
      </c>
      <c r="I309" s="60">
        <f t="shared" si="115"/>
        <v>1.125</v>
      </c>
      <c r="J309" s="60">
        <f t="shared" si="115"/>
        <v>1.125</v>
      </c>
      <c r="K309" s="60">
        <f t="shared" si="115"/>
        <v>1.125</v>
      </c>
      <c r="L309" s="60">
        <f t="shared" si="115"/>
        <v>1.125</v>
      </c>
      <c r="M309" s="60">
        <f t="shared" si="115"/>
        <v>1.125</v>
      </c>
      <c r="N309" s="60">
        <f t="shared" si="115"/>
        <v>1.125</v>
      </c>
      <c r="O309" s="60">
        <f t="shared" si="115"/>
        <v>1.125</v>
      </c>
      <c r="P309" s="30"/>
    </row>
    <row r="310" spans="1:16" x14ac:dyDescent="0.25">
      <c r="A310" s="33" t="s">
        <v>212</v>
      </c>
      <c r="B310" t="s">
        <v>359</v>
      </c>
      <c r="C310" t="s">
        <v>341</v>
      </c>
      <c r="D310" s="60">
        <f>$D$304*D306/12</f>
        <v>0</v>
      </c>
      <c r="E310" s="60">
        <f t="shared" ref="E310:O310" si="116">$D$304*E306/12</f>
        <v>0</v>
      </c>
      <c r="F310" s="60">
        <f t="shared" si="116"/>
        <v>0</v>
      </c>
      <c r="G310" s="60">
        <f t="shared" si="116"/>
        <v>0</v>
      </c>
      <c r="H310" s="60">
        <f t="shared" si="116"/>
        <v>0</v>
      </c>
      <c r="I310" s="60">
        <f t="shared" si="116"/>
        <v>0</v>
      </c>
      <c r="J310" s="60">
        <f t="shared" si="116"/>
        <v>0</v>
      </c>
      <c r="K310" s="60">
        <f t="shared" si="116"/>
        <v>0</v>
      </c>
      <c r="L310" s="60">
        <f t="shared" si="116"/>
        <v>0</v>
      </c>
      <c r="M310" s="60">
        <f t="shared" si="116"/>
        <v>0</v>
      </c>
      <c r="N310" s="60">
        <f t="shared" si="116"/>
        <v>0</v>
      </c>
      <c r="O310" s="60">
        <f t="shared" si="116"/>
        <v>0</v>
      </c>
      <c r="P310" s="30"/>
    </row>
    <row r="311" spans="1:16" x14ac:dyDescent="0.25">
      <c r="A311" s="9" t="s">
        <v>152</v>
      </c>
      <c r="B311" s="9"/>
      <c r="C311" s="9" t="s">
        <v>342</v>
      </c>
      <c r="D311" s="60">
        <f>D309*$D$295</f>
        <v>0.67499999999999993</v>
      </c>
      <c r="E311" s="60">
        <f t="shared" ref="E311:O311" si="117">E309*$D$295</f>
        <v>0.67499999999999993</v>
      </c>
      <c r="F311" s="60">
        <f t="shared" si="117"/>
        <v>0.67499999999999993</v>
      </c>
      <c r="G311" s="60">
        <f t="shared" si="117"/>
        <v>0.67499999999999993</v>
      </c>
      <c r="H311" s="60">
        <f t="shared" si="117"/>
        <v>0.67499999999999993</v>
      </c>
      <c r="I311" s="60">
        <f t="shared" si="117"/>
        <v>0.67499999999999993</v>
      </c>
      <c r="J311" s="60">
        <f t="shared" si="117"/>
        <v>0.67499999999999993</v>
      </c>
      <c r="K311" s="60">
        <f t="shared" si="117"/>
        <v>0.67499999999999993</v>
      </c>
      <c r="L311" s="60">
        <f t="shared" si="117"/>
        <v>0.67499999999999993</v>
      </c>
      <c r="M311" s="60">
        <f t="shared" si="117"/>
        <v>0.67499999999999993</v>
      </c>
      <c r="N311" s="60">
        <f t="shared" si="117"/>
        <v>0.67499999999999993</v>
      </c>
      <c r="O311" s="60">
        <f t="shared" si="117"/>
        <v>0.67499999999999993</v>
      </c>
      <c r="P311" s="30"/>
    </row>
    <row r="312" spans="1:16" x14ac:dyDescent="0.25">
      <c r="A312" s="33"/>
      <c r="B312" s="33"/>
      <c r="C312" s="33"/>
      <c r="P312" s="30"/>
    </row>
    <row r="313" spans="1:16" x14ac:dyDescent="0.25">
      <c r="A313" t="s">
        <v>210</v>
      </c>
      <c r="B313" t="s">
        <v>343</v>
      </c>
      <c r="C313" t="s">
        <v>229</v>
      </c>
      <c r="D313" s="60">
        <f>D308*D$278*D$279</f>
        <v>0</v>
      </c>
      <c r="E313" s="60">
        <f t="shared" ref="E313:O313" si="118">E308*E$278*E$279</f>
        <v>0</v>
      </c>
      <c r="F313" s="60">
        <f t="shared" si="118"/>
        <v>0</v>
      </c>
      <c r="G313" s="60">
        <f t="shared" si="118"/>
        <v>0</v>
      </c>
      <c r="H313" s="60">
        <f t="shared" si="118"/>
        <v>0</v>
      </c>
      <c r="I313" s="60">
        <f t="shared" si="118"/>
        <v>0</v>
      </c>
      <c r="J313" s="60">
        <f t="shared" si="118"/>
        <v>0</v>
      </c>
      <c r="K313" s="60">
        <f t="shared" si="118"/>
        <v>0</v>
      </c>
      <c r="L313" s="60">
        <f t="shared" si="118"/>
        <v>0</v>
      </c>
      <c r="M313" s="60">
        <f t="shared" si="118"/>
        <v>0</v>
      </c>
      <c r="N313" s="60">
        <f t="shared" si="118"/>
        <v>0</v>
      </c>
      <c r="O313" s="60">
        <f t="shared" si="118"/>
        <v>0</v>
      </c>
      <c r="P313" s="30"/>
    </row>
    <row r="314" spans="1:16" x14ac:dyDescent="0.25">
      <c r="A314" t="s">
        <v>211</v>
      </c>
      <c r="B314" t="s">
        <v>343</v>
      </c>
      <c r="C314" t="s">
        <v>229</v>
      </c>
      <c r="D314" s="60">
        <f t="shared" ref="D314:O315" si="119">D309*D$278*D$279</f>
        <v>20.291581108829568</v>
      </c>
      <c r="E314" s="60">
        <f t="shared" si="119"/>
        <v>20.291581108829568</v>
      </c>
      <c r="F314" s="60">
        <f t="shared" si="119"/>
        <v>20.291581108829568</v>
      </c>
      <c r="G314" s="60">
        <f t="shared" si="119"/>
        <v>0</v>
      </c>
      <c r="H314" s="60">
        <f t="shared" si="119"/>
        <v>0</v>
      </c>
      <c r="I314" s="60">
        <f t="shared" si="119"/>
        <v>0</v>
      </c>
      <c r="J314" s="60">
        <f t="shared" si="119"/>
        <v>0</v>
      </c>
      <c r="K314" s="60">
        <f t="shared" si="119"/>
        <v>0</v>
      </c>
      <c r="L314" s="60">
        <f t="shared" si="119"/>
        <v>0</v>
      </c>
      <c r="M314" s="60">
        <f t="shared" si="119"/>
        <v>20.291581108829568</v>
      </c>
      <c r="N314" s="60">
        <f t="shared" si="119"/>
        <v>20.291581108829568</v>
      </c>
      <c r="O314" s="60">
        <f t="shared" si="119"/>
        <v>20.291581108829568</v>
      </c>
      <c r="P314" s="30"/>
    </row>
    <row r="315" spans="1:16" x14ac:dyDescent="0.25">
      <c r="A315" t="s">
        <v>212</v>
      </c>
      <c r="B315" t="s">
        <v>343</v>
      </c>
      <c r="C315" t="s">
        <v>229</v>
      </c>
      <c r="D315" s="60">
        <f t="shared" si="119"/>
        <v>0</v>
      </c>
      <c r="E315" s="60">
        <f t="shared" si="119"/>
        <v>0</v>
      </c>
      <c r="F315" s="60">
        <f t="shared" si="119"/>
        <v>0</v>
      </c>
      <c r="G315" s="60">
        <f t="shared" si="119"/>
        <v>0</v>
      </c>
      <c r="H315" s="60">
        <f t="shared" si="119"/>
        <v>0</v>
      </c>
      <c r="I315" s="60">
        <f t="shared" si="119"/>
        <v>0</v>
      </c>
      <c r="J315" s="60">
        <f t="shared" si="119"/>
        <v>0</v>
      </c>
      <c r="K315" s="60">
        <f t="shared" si="119"/>
        <v>0</v>
      </c>
      <c r="L315" s="60">
        <f t="shared" si="119"/>
        <v>0</v>
      </c>
      <c r="M315" s="60">
        <f t="shared" si="119"/>
        <v>0</v>
      </c>
      <c r="N315" s="60">
        <f t="shared" si="119"/>
        <v>0</v>
      </c>
      <c r="O315" s="60">
        <f t="shared" si="119"/>
        <v>0</v>
      </c>
      <c r="P315" s="30"/>
    </row>
    <row r="316" spans="1:16" x14ac:dyDescent="0.25">
      <c r="P316" s="30"/>
    </row>
    <row r="317" spans="1:16" x14ac:dyDescent="0.25">
      <c r="A317" s="44" t="s">
        <v>237</v>
      </c>
      <c r="B317" s="44" t="s">
        <v>344</v>
      </c>
      <c r="C317" s="44" t="s">
        <v>239</v>
      </c>
      <c r="D317" s="69">
        <f>D311*D279*D278</f>
        <v>12.174948665297739</v>
      </c>
      <c r="E317" s="69">
        <f t="shared" ref="E317:O317" si="120">E311*E279*E278</f>
        <v>12.174948665297739</v>
      </c>
      <c r="F317" s="69">
        <f t="shared" si="120"/>
        <v>12.174948665297739</v>
      </c>
      <c r="G317" s="69">
        <f t="shared" si="120"/>
        <v>0</v>
      </c>
      <c r="H317" s="69">
        <f t="shared" si="120"/>
        <v>0</v>
      </c>
      <c r="I317" s="69">
        <f t="shared" si="120"/>
        <v>0</v>
      </c>
      <c r="J317" s="69">
        <f t="shared" si="120"/>
        <v>0</v>
      </c>
      <c r="K317" s="69">
        <f t="shared" si="120"/>
        <v>0</v>
      </c>
      <c r="L317" s="69">
        <f t="shared" si="120"/>
        <v>0</v>
      </c>
      <c r="M317" s="69">
        <f t="shared" si="120"/>
        <v>12.174948665297739</v>
      </c>
      <c r="N317" s="69">
        <f t="shared" si="120"/>
        <v>12.174948665297739</v>
      </c>
      <c r="O317" s="69">
        <f t="shared" si="120"/>
        <v>12.174948665297739</v>
      </c>
      <c r="P317" s="30"/>
    </row>
    <row r="318" spans="1:16" x14ac:dyDescent="0.25">
      <c r="A318" s="44" t="s">
        <v>245</v>
      </c>
      <c r="B318" s="44"/>
      <c r="C318" s="44" t="s">
        <v>229</v>
      </c>
      <c r="D318" s="69">
        <f>D315+D313</f>
        <v>0</v>
      </c>
      <c r="E318" s="69">
        <f t="shared" ref="E318:O318" si="121">E315+E313</f>
        <v>0</v>
      </c>
      <c r="F318" s="69">
        <f t="shared" si="121"/>
        <v>0</v>
      </c>
      <c r="G318" s="69">
        <f t="shared" si="121"/>
        <v>0</v>
      </c>
      <c r="H318" s="69">
        <f t="shared" si="121"/>
        <v>0</v>
      </c>
      <c r="I318" s="69">
        <f t="shared" si="121"/>
        <v>0</v>
      </c>
      <c r="J318" s="69">
        <f t="shared" si="121"/>
        <v>0</v>
      </c>
      <c r="K318" s="69">
        <f t="shared" si="121"/>
        <v>0</v>
      </c>
      <c r="L318" s="69">
        <f t="shared" si="121"/>
        <v>0</v>
      </c>
      <c r="M318" s="69">
        <f t="shared" si="121"/>
        <v>0</v>
      </c>
      <c r="N318" s="69">
        <f t="shared" si="121"/>
        <v>0</v>
      </c>
      <c r="O318" s="69">
        <f t="shared" si="121"/>
        <v>0</v>
      </c>
      <c r="P318" s="30"/>
    </row>
    <row r="319" spans="1:16" x14ac:dyDescent="0.25">
      <c r="A319" s="44"/>
      <c r="B319" s="44"/>
      <c r="C319" s="44"/>
      <c r="P319" s="30"/>
    </row>
    <row r="320" spans="1:16" x14ac:dyDescent="0.25">
      <c r="A320" s="9" t="s">
        <v>241</v>
      </c>
      <c r="B320" s="9" t="s">
        <v>240</v>
      </c>
      <c r="C320" s="9" t="s">
        <v>246</v>
      </c>
      <c r="D320" s="60">
        <f>(D280+D286)*$D$292</f>
        <v>0</v>
      </c>
      <c r="E320" s="60">
        <f t="shared" ref="E320:O320" si="122">(E280+E286)*$D$292</f>
        <v>0</v>
      </c>
      <c r="F320" s="60">
        <f t="shared" si="122"/>
        <v>0</v>
      </c>
      <c r="G320" s="60">
        <f t="shared" si="122"/>
        <v>0</v>
      </c>
      <c r="H320" s="60">
        <f t="shared" si="122"/>
        <v>0</v>
      </c>
      <c r="I320" s="60">
        <f t="shared" si="122"/>
        <v>0</v>
      </c>
      <c r="J320" s="60">
        <f t="shared" si="122"/>
        <v>0</v>
      </c>
      <c r="K320" s="60">
        <f t="shared" si="122"/>
        <v>0</v>
      </c>
      <c r="L320" s="60">
        <f t="shared" si="122"/>
        <v>0</v>
      </c>
      <c r="M320" s="60">
        <f t="shared" si="122"/>
        <v>0</v>
      </c>
      <c r="N320" s="60">
        <f t="shared" si="122"/>
        <v>0</v>
      </c>
      <c r="O320" s="60">
        <f t="shared" si="122"/>
        <v>0</v>
      </c>
      <c r="P320" s="30"/>
    </row>
    <row r="321" spans="1:16" x14ac:dyDescent="0.25">
      <c r="A321" s="9" t="s">
        <v>247</v>
      </c>
      <c r="B321" s="9" t="s">
        <v>248</v>
      </c>
      <c r="C321" s="9" t="s">
        <v>249</v>
      </c>
      <c r="D321" s="60">
        <f t="shared" ref="D321:O322" si="123">(D281+D287)*$D$292</f>
        <v>0</v>
      </c>
      <c r="E321" s="60">
        <f t="shared" si="123"/>
        <v>0</v>
      </c>
      <c r="F321" s="60">
        <f t="shared" si="123"/>
        <v>0</v>
      </c>
      <c r="G321" s="60">
        <f t="shared" si="123"/>
        <v>0</v>
      </c>
      <c r="H321" s="60">
        <f t="shared" si="123"/>
        <v>0</v>
      </c>
      <c r="I321" s="60">
        <f t="shared" si="123"/>
        <v>0</v>
      </c>
      <c r="J321" s="60">
        <f t="shared" si="123"/>
        <v>0</v>
      </c>
      <c r="K321" s="60">
        <f t="shared" si="123"/>
        <v>0</v>
      </c>
      <c r="L321" s="60">
        <f t="shared" si="123"/>
        <v>0</v>
      </c>
      <c r="M321" s="60">
        <f t="shared" si="123"/>
        <v>0</v>
      </c>
      <c r="N321" s="60">
        <f t="shared" si="123"/>
        <v>0</v>
      </c>
      <c r="O321" s="60">
        <f t="shared" si="123"/>
        <v>0</v>
      </c>
      <c r="P321" s="30"/>
    </row>
    <row r="322" spans="1:16" x14ac:dyDescent="0.25">
      <c r="A322" s="9" t="s">
        <v>250</v>
      </c>
      <c r="B322" s="9" t="s">
        <v>251</v>
      </c>
      <c r="C322" s="9" t="s">
        <v>252</v>
      </c>
      <c r="D322" s="60">
        <f t="shared" si="123"/>
        <v>0</v>
      </c>
      <c r="E322" s="60">
        <f t="shared" si="123"/>
        <v>0</v>
      </c>
      <c r="F322" s="60">
        <f t="shared" si="123"/>
        <v>0</v>
      </c>
      <c r="G322" s="60">
        <f t="shared" si="123"/>
        <v>0</v>
      </c>
      <c r="H322" s="60">
        <f t="shared" si="123"/>
        <v>0</v>
      </c>
      <c r="I322" s="60">
        <f t="shared" si="123"/>
        <v>0</v>
      </c>
      <c r="J322" s="60">
        <f t="shared" si="123"/>
        <v>0</v>
      </c>
      <c r="K322" s="60">
        <f t="shared" si="123"/>
        <v>0</v>
      </c>
      <c r="L322" s="60">
        <f t="shared" si="123"/>
        <v>0</v>
      </c>
      <c r="M322" s="60">
        <f t="shared" si="123"/>
        <v>0</v>
      </c>
      <c r="N322" s="60">
        <f t="shared" si="123"/>
        <v>0</v>
      </c>
      <c r="O322" s="60">
        <f t="shared" si="123"/>
        <v>0</v>
      </c>
      <c r="P322" s="30"/>
    </row>
    <row r="323" spans="1:16" x14ac:dyDescent="0.25">
      <c r="A323" s="9"/>
      <c r="B323" s="9"/>
      <c r="C323" s="9"/>
      <c r="P323" s="30"/>
    </row>
    <row r="324" spans="1:16" x14ac:dyDescent="0.25">
      <c r="A324" s="9" t="s">
        <v>253</v>
      </c>
      <c r="B324" s="9" t="s">
        <v>306</v>
      </c>
      <c r="C324" s="9" t="s">
        <v>246</v>
      </c>
      <c r="D324" s="60">
        <f>(D280+D286)*$D$293</f>
        <v>91.988140287474337</v>
      </c>
      <c r="E324" s="60">
        <f t="shared" ref="E324:O324" si="124">(E280+E286)*$D$293</f>
        <v>91.988140287474337</v>
      </c>
      <c r="F324" s="60">
        <f t="shared" si="124"/>
        <v>91.988140287474337</v>
      </c>
      <c r="G324" s="60">
        <f t="shared" si="124"/>
        <v>0</v>
      </c>
      <c r="H324" s="60">
        <f t="shared" si="124"/>
        <v>0</v>
      </c>
      <c r="I324" s="60">
        <f t="shared" si="124"/>
        <v>0</v>
      </c>
      <c r="J324" s="60">
        <f t="shared" si="124"/>
        <v>0</v>
      </c>
      <c r="K324" s="60">
        <f t="shared" si="124"/>
        <v>0</v>
      </c>
      <c r="L324" s="60">
        <f t="shared" si="124"/>
        <v>0</v>
      </c>
      <c r="M324" s="60">
        <f t="shared" si="124"/>
        <v>91.988140287474337</v>
      </c>
      <c r="N324" s="60">
        <f t="shared" si="124"/>
        <v>91.988140287474337</v>
      </c>
      <c r="O324" s="60">
        <f t="shared" si="124"/>
        <v>91.988140287474337</v>
      </c>
      <c r="P324" s="30"/>
    </row>
    <row r="325" spans="1:16" x14ac:dyDescent="0.25">
      <c r="A325" s="9" t="s">
        <v>254</v>
      </c>
      <c r="B325" s="9" t="s">
        <v>307</v>
      </c>
      <c r="C325" s="9" t="s">
        <v>249</v>
      </c>
      <c r="D325" s="60">
        <f t="shared" ref="D325:O326" si="125">(D281+D287)*$D$293</f>
        <v>16.845168788501027</v>
      </c>
      <c r="E325" s="60">
        <f t="shared" si="125"/>
        <v>16.845168788501027</v>
      </c>
      <c r="F325" s="60">
        <f t="shared" si="125"/>
        <v>16.845168788501027</v>
      </c>
      <c r="G325" s="60">
        <f t="shared" si="125"/>
        <v>0</v>
      </c>
      <c r="H325" s="60">
        <f t="shared" si="125"/>
        <v>0</v>
      </c>
      <c r="I325" s="60">
        <f t="shared" si="125"/>
        <v>0</v>
      </c>
      <c r="J325" s="60">
        <f t="shared" si="125"/>
        <v>0</v>
      </c>
      <c r="K325" s="60">
        <f t="shared" si="125"/>
        <v>0</v>
      </c>
      <c r="L325" s="60">
        <f t="shared" si="125"/>
        <v>0</v>
      </c>
      <c r="M325" s="60">
        <f t="shared" si="125"/>
        <v>16.845168788501027</v>
      </c>
      <c r="N325" s="60">
        <f t="shared" si="125"/>
        <v>16.845168788501027</v>
      </c>
      <c r="O325" s="60">
        <f t="shared" si="125"/>
        <v>16.845168788501027</v>
      </c>
      <c r="P325" s="30"/>
    </row>
    <row r="326" spans="1:16" x14ac:dyDescent="0.25">
      <c r="A326" s="9" t="s">
        <v>255</v>
      </c>
      <c r="B326" s="9" t="s">
        <v>308</v>
      </c>
      <c r="C326" s="9" t="s">
        <v>252</v>
      </c>
      <c r="D326" s="60">
        <f t="shared" si="125"/>
        <v>91.098016803942514</v>
      </c>
      <c r="E326" s="60">
        <f t="shared" si="125"/>
        <v>91.098016803942514</v>
      </c>
      <c r="F326" s="60">
        <f t="shared" si="125"/>
        <v>91.098016803942514</v>
      </c>
      <c r="G326" s="60">
        <f t="shared" si="125"/>
        <v>0</v>
      </c>
      <c r="H326" s="60">
        <f t="shared" si="125"/>
        <v>0</v>
      </c>
      <c r="I326" s="60">
        <f t="shared" si="125"/>
        <v>0</v>
      </c>
      <c r="J326" s="60">
        <f t="shared" si="125"/>
        <v>0</v>
      </c>
      <c r="K326" s="60">
        <f t="shared" si="125"/>
        <v>0</v>
      </c>
      <c r="L326" s="60">
        <f t="shared" si="125"/>
        <v>0</v>
      </c>
      <c r="M326" s="60">
        <f t="shared" si="125"/>
        <v>91.098016803942514</v>
      </c>
      <c r="N326" s="60">
        <f t="shared" si="125"/>
        <v>91.098016803942514</v>
      </c>
      <c r="O326" s="60">
        <f t="shared" si="125"/>
        <v>91.098016803942514</v>
      </c>
      <c r="P326" s="30"/>
    </row>
    <row r="327" spans="1:16" x14ac:dyDescent="0.25">
      <c r="A327" s="9"/>
      <c r="B327" s="9"/>
      <c r="C327" s="9"/>
      <c r="D327" s="60"/>
      <c r="E327" s="60"/>
      <c r="F327" s="60"/>
      <c r="G327" s="60"/>
      <c r="H327" s="60"/>
      <c r="I327" s="60"/>
      <c r="J327" s="60"/>
      <c r="K327" s="60"/>
      <c r="L327" s="60"/>
      <c r="M327" s="60"/>
      <c r="N327" s="60"/>
      <c r="O327" s="60"/>
      <c r="P327" s="30"/>
    </row>
    <row r="328" spans="1:16" x14ac:dyDescent="0.25">
      <c r="A328" s="9" t="s">
        <v>256</v>
      </c>
      <c r="B328" s="9" t="s">
        <v>737</v>
      </c>
      <c r="C328" s="9" t="s">
        <v>246</v>
      </c>
      <c r="D328" s="34">
        <f>D324*$D297</f>
        <v>0.9198814028747434</v>
      </c>
      <c r="E328" s="34">
        <f t="shared" ref="E328:O328" si="126">E324*$D297</f>
        <v>0.9198814028747434</v>
      </c>
      <c r="F328" s="34">
        <f t="shared" si="126"/>
        <v>0.9198814028747434</v>
      </c>
      <c r="G328" s="34">
        <f t="shared" si="126"/>
        <v>0</v>
      </c>
      <c r="H328" s="34">
        <f t="shared" si="126"/>
        <v>0</v>
      </c>
      <c r="I328" s="34">
        <f t="shared" si="126"/>
        <v>0</v>
      </c>
      <c r="J328" s="34">
        <f t="shared" si="126"/>
        <v>0</v>
      </c>
      <c r="K328" s="34">
        <f t="shared" si="126"/>
        <v>0</v>
      </c>
      <c r="L328" s="34">
        <f t="shared" si="126"/>
        <v>0</v>
      </c>
      <c r="M328" s="34">
        <f t="shared" si="126"/>
        <v>0.9198814028747434</v>
      </c>
      <c r="N328" s="34">
        <f t="shared" si="126"/>
        <v>0.9198814028747434</v>
      </c>
      <c r="O328" s="34">
        <f t="shared" si="126"/>
        <v>0.9198814028747434</v>
      </c>
      <c r="P328" s="30"/>
    </row>
    <row r="329" spans="1:16" x14ac:dyDescent="0.25">
      <c r="A329" s="9" t="s">
        <v>257</v>
      </c>
      <c r="B329" s="9" t="s">
        <v>738</v>
      </c>
      <c r="C329" s="9" t="s">
        <v>249</v>
      </c>
      <c r="D329" s="34">
        <f>D325*$D298</f>
        <v>0.15160651909650927</v>
      </c>
      <c r="E329" s="34">
        <f t="shared" ref="E329:O329" si="127">E325*$D298</f>
        <v>0.15160651909650927</v>
      </c>
      <c r="F329" s="34">
        <f t="shared" si="127"/>
        <v>0.15160651909650927</v>
      </c>
      <c r="G329" s="34">
        <f t="shared" si="127"/>
        <v>0</v>
      </c>
      <c r="H329" s="34">
        <f t="shared" si="127"/>
        <v>0</v>
      </c>
      <c r="I329" s="34">
        <f t="shared" si="127"/>
        <v>0</v>
      </c>
      <c r="J329" s="34">
        <f t="shared" si="127"/>
        <v>0</v>
      </c>
      <c r="K329" s="34">
        <f t="shared" si="127"/>
        <v>0</v>
      </c>
      <c r="L329" s="34">
        <f t="shared" si="127"/>
        <v>0</v>
      </c>
      <c r="M329" s="34">
        <f t="shared" si="127"/>
        <v>0.15160651909650927</v>
      </c>
      <c r="N329" s="34">
        <f t="shared" si="127"/>
        <v>0.15160651909650927</v>
      </c>
      <c r="O329" s="34">
        <f t="shared" si="127"/>
        <v>0.15160651909650927</v>
      </c>
      <c r="P329" s="30"/>
    </row>
    <row r="330" spans="1:16" x14ac:dyDescent="0.25">
      <c r="A330" s="9" t="s">
        <v>258</v>
      </c>
      <c r="B330" s="9" t="s">
        <v>739</v>
      </c>
      <c r="C330" s="9" t="s">
        <v>252</v>
      </c>
      <c r="D330" s="34">
        <f>D326*$D299</f>
        <v>1.0020781848433675</v>
      </c>
      <c r="E330" s="34">
        <f t="shared" ref="E330:O330" si="128">E326*$D299</f>
        <v>1.0020781848433675</v>
      </c>
      <c r="F330" s="34">
        <f t="shared" si="128"/>
        <v>1.0020781848433675</v>
      </c>
      <c r="G330" s="34">
        <f t="shared" si="128"/>
        <v>0</v>
      </c>
      <c r="H330" s="34">
        <f t="shared" si="128"/>
        <v>0</v>
      </c>
      <c r="I330" s="34">
        <f t="shared" si="128"/>
        <v>0</v>
      </c>
      <c r="J330" s="34">
        <f t="shared" si="128"/>
        <v>0</v>
      </c>
      <c r="K330" s="34">
        <f t="shared" si="128"/>
        <v>0</v>
      </c>
      <c r="L330" s="34">
        <f t="shared" si="128"/>
        <v>0</v>
      </c>
      <c r="M330" s="34">
        <f t="shared" si="128"/>
        <v>1.0020781848433675</v>
      </c>
      <c r="N330" s="34">
        <f t="shared" si="128"/>
        <v>1.0020781848433675</v>
      </c>
      <c r="O330" s="34">
        <f t="shared" si="128"/>
        <v>1.0020781848433675</v>
      </c>
      <c r="P330" s="30"/>
    </row>
    <row r="331" spans="1:16" x14ac:dyDescent="0.25">
      <c r="A331" s="9"/>
      <c r="B331" s="9"/>
      <c r="C331" s="9"/>
      <c r="D331" s="34"/>
      <c r="E331" s="34"/>
      <c r="F331" s="34"/>
      <c r="G331" s="34"/>
      <c r="H331" s="34"/>
      <c r="I331" s="34"/>
      <c r="J331" s="34"/>
      <c r="K331" s="34"/>
      <c r="L331" s="34"/>
      <c r="M331" s="34"/>
      <c r="N331" s="34"/>
      <c r="O331" s="34"/>
      <c r="P331" s="30"/>
    </row>
    <row r="332" spans="1:16" x14ac:dyDescent="0.25">
      <c r="A332" s="9" t="s">
        <v>740</v>
      </c>
      <c r="B332" s="9" t="s">
        <v>743</v>
      </c>
      <c r="C332" s="9" t="s">
        <v>246</v>
      </c>
      <c r="D332" s="34">
        <f>D324-D328</f>
        <v>91.068258884599601</v>
      </c>
      <c r="E332" s="34">
        <f t="shared" ref="E332:O332" si="129">E324-E328</f>
        <v>91.068258884599601</v>
      </c>
      <c r="F332" s="34">
        <f t="shared" si="129"/>
        <v>91.068258884599601</v>
      </c>
      <c r="G332" s="34">
        <f t="shared" si="129"/>
        <v>0</v>
      </c>
      <c r="H332" s="34">
        <f t="shared" si="129"/>
        <v>0</v>
      </c>
      <c r="I332" s="34">
        <f t="shared" si="129"/>
        <v>0</v>
      </c>
      <c r="J332" s="34">
        <f t="shared" si="129"/>
        <v>0</v>
      </c>
      <c r="K332" s="34">
        <f t="shared" si="129"/>
        <v>0</v>
      </c>
      <c r="L332" s="34">
        <f t="shared" si="129"/>
        <v>0</v>
      </c>
      <c r="M332" s="34">
        <f t="shared" si="129"/>
        <v>91.068258884599601</v>
      </c>
      <c r="N332" s="34">
        <f t="shared" si="129"/>
        <v>91.068258884599601</v>
      </c>
      <c r="O332" s="34">
        <f t="shared" si="129"/>
        <v>91.068258884599601</v>
      </c>
      <c r="P332" s="30"/>
    </row>
    <row r="333" spans="1:16" x14ac:dyDescent="0.25">
      <c r="A333" s="9" t="s">
        <v>741</v>
      </c>
      <c r="B333" s="9" t="s">
        <v>744</v>
      </c>
      <c r="C333" s="9" t="s">
        <v>249</v>
      </c>
      <c r="D333" s="34">
        <f t="shared" ref="D333:O334" si="130">D325-D329</f>
        <v>16.693562269404516</v>
      </c>
      <c r="E333" s="34">
        <f t="shared" si="130"/>
        <v>16.693562269404516</v>
      </c>
      <c r="F333" s="34">
        <f>F325-F329</f>
        <v>16.693562269404516</v>
      </c>
      <c r="G333" s="34">
        <f t="shared" si="130"/>
        <v>0</v>
      </c>
      <c r="H333" s="34">
        <f t="shared" si="130"/>
        <v>0</v>
      </c>
      <c r="I333" s="34">
        <f t="shared" si="130"/>
        <v>0</v>
      </c>
      <c r="J333" s="34">
        <f t="shared" si="130"/>
        <v>0</v>
      </c>
      <c r="K333" s="34">
        <f t="shared" si="130"/>
        <v>0</v>
      </c>
      <c r="L333" s="34">
        <f t="shared" si="130"/>
        <v>0</v>
      </c>
      <c r="M333" s="34">
        <f t="shared" si="130"/>
        <v>16.693562269404516</v>
      </c>
      <c r="N333" s="34">
        <f t="shared" si="130"/>
        <v>16.693562269404516</v>
      </c>
      <c r="O333" s="34">
        <f t="shared" si="130"/>
        <v>16.693562269404516</v>
      </c>
      <c r="P333" s="30"/>
    </row>
    <row r="334" spans="1:16" x14ac:dyDescent="0.25">
      <c r="A334" s="9" t="s">
        <v>742</v>
      </c>
      <c r="B334" s="9" t="s">
        <v>745</v>
      </c>
      <c r="C334" s="9" t="s">
        <v>252</v>
      </c>
      <c r="D334" s="34">
        <f t="shared" si="130"/>
        <v>90.095938619099144</v>
      </c>
      <c r="E334" s="34">
        <f t="shared" si="130"/>
        <v>90.095938619099144</v>
      </c>
      <c r="F334" s="34">
        <f t="shared" si="130"/>
        <v>90.095938619099144</v>
      </c>
      <c r="G334" s="34">
        <f t="shared" si="130"/>
        <v>0</v>
      </c>
      <c r="H334" s="34">
        <f t="shared" si="130"/>
        <v>0</v>
      </c>
      <c r="I334" s="34">
        <f t="shared" si="130"/>
        <v>0</v>
      </c>
      <c r="J334" s="34">
        <f t="shared" si="130"/>
        <v>0</v>
      </c>
      <c r="K334" s="34">
        <f t="shared" si="130"/>
        <v>0</v>
      </c>
      <c r="L334" s="34">
        <f t="shared" si="130"/>
        <v>0</v>
      </c>
      <c r="M334" s="34">
        <f t="shared" si="130"/>
        <v>90.095938619099144</v>
      </c>
      <c r="N334" s="34">
        <f t="shared" si="130"/>
        <v>90.095938619099144</v>
      </c>
      <c r="O334" s="34">
        <f t="shared" si="130"/>
        <v>90.095938619099144</v>
      </c>
      <c r="P334" s="30"/>
    </row>
    <row r="335" spans="1:16" x14ac:dyDescent="0.25">
      <c r="D335" s="34"/>
      <c r="E335" s="34"/>
      <c r="F335" s="34"/>
      <c r="G335" s="34"/>
      <c r="H335" s="34"/>
      <c r="I335" s="34"/>
      <c r="J335" s="34"/>
      <c r="K335" s="34"/>
      <c r="L335" s="34"/>
      <c r="M335" s="34"/>
      <c r="N335" s="34"/>
      <c r="O335" s="34"/>
      <c r="P335" s="30"/>
    </row>
    <row r="336" spans="1:16" x14ac:dyDescent="0.25">
      <c r="A336" s="5" t="s">
        <v>259</v>
      </c>
      <c r="B336" s="9" t="s">
        <v>260</v>
      </c>
      <c r="C336" s="33"/>
      <c r="D336" s="34"/>
      <c r="E336" s="34"/>
      <c r="F336" s="34"/>
      <c r="G336" s="34"/>
      <c r="H336" s="34"/>
      <c r="I336" s="34"/>
      <c r="J336" s="34"/>
      <c r="K336" s="34"/>
      <c r="L336" s="34"/>
      <c r="M336" s="34"/>
      <c r="N336" s="34"/>
      <c r="O336" s="34"/>
      <c r="P336" s="30"/>
    </row>
    <row r="337" spans="1:16" x14ac:dyDescent="0.25">
      <c r="A337" s="5" t="s">
        <v>58</v>
      </c>
      <c r="B337" s="44" t="s">
        <v>261</v>
      </c>
      <c r="C337" s="5" t="s">
        <v>233</v>
      </c>
      <c r="D337" s="69">
        <f>IF(D$318&lt;=0,0,(D320+D328)/D$318)</f>
        <v>0</v>
      </c>
      <c r="E337" s="69">
        <f t="shared" ref="E337:O337" si="131">IF(E$318&lt;=0,0,(E320+E328)/E$318)</f>
        <v>0</v>
      </c>
      <c r="F337" s="69">
        <f t="shared" si="131"/>
        <v>0</v>
      </c>
      <c r="G337" s="69">
        <f t="shared" si="131"/>
        <v>0</v>
      </c>
      <c r="H337" s="69">
        <f t="shared" si="131"/>
        <v>0</v>
      </c>
      <c r="I337" s="69">
        <f t="shared" si="131"/>
        <v>0</v>
      </c>
      <c r="J337" s="69">
        <f t="shared" si="131"/>
        <v>0</v>
      </c>
      <c r="K337" s="69">
        <f t="shared" si="131"/>
        <v>0</v>
      </c>
      <c r="L337" s="69">
        <f t="shared" si="131"/>
        <v>0</v>
      </c>
      <c r="M337" s="69">
        <f t="shared" si="131"/>
        <v>0</v>
      </c>
      <c r="N337" s="69">
        <f t="shared" si="131"/>
        <v>0</v>
      </c>
      <c r="O337" s="69">
        <f t="shared" si="131"/>
        <v>0</v>
      </c>
      <c r="P337" s="30"/>
    </row>
    <row r="338" spans="1:16" x14ac:dyDescent="0.25">
      <c r="A338" s="5" t="s">
        <v>59</v>
      </c>
      <c r="B338" s="5"/>
      <c r="C338" s="5" t="s">
        <v>234</v>
      </c>
      <c r="D338" s="69">
        <f t="shared" ref="D338:O339" si="132">IF(D$318&lt;=0,0,(D321+D329)/D$318)</f>
        <v>0</v>
      </c>
      <c r="E338" s="69">
        <f t="shared" si="132"/>
        <v>0</v>
      </c>
      <c r="F338" s="69">
        <f>IF(F$318&lt;=0,0,(F321+F329)/F$318)</f>
        <v>0</v>
      </c>
      <c r="G338" s="69">
        <f t="shared" si="132"/>
        <v>0</v>
      </c>
      <c r="H338" s="69">
        <f t="shared" si="132"/>
        <v>0</v>
      </c>
      <c r="I338" s="69">
        <f t="shared" si="132"/>
        <v>0</v>
      </c>
      <c r="J338" s="69">
        <f t="shared" si="132"/>
        <v>0</v>
      </c>
      <c r="K338" s="69">
        <f t="shared" si="132"/>
        <v>0</v>
      </c>
      <c r="L338" s="69">
        <f t="shared" si="132"/>
        <v>0</v>
      </c>
      <c r="M338" s="69">
        <f t="shared" si="132"/>
        <v>0</v>
      </c>
      <c r="N338" s="69">
        <f t="shared" si="132"/>
        <v>0</v>
      </c>
      <c r="O338" s="69">
        <f t="shared" si="132"/>
        <v>0</v>
      </c>
      <c r="P338" s="30"/>
    </row>
    <row r="339" spans="1:16" x14ac:dyDescent="0.25">
      <c r="A339" s="5" t="s">
        <v>60</v>
      </c>
      <c r="B339" s="5"/>
      <c r="C339" s="5" t="s">
        <v>235</v>
      </c>
      <c r="D339" s="69">
        <f t="shared" si="132"/>
        <v>0</v>
      </c>
      <c r="E339" s="69">
        <f t="shared" si="132"/>
        <v>0</v>
      </c>
      <c r="F339" s="69">
        <f t="shared" si="132"/>
        <v>0</v>
      </c>
      <c r="G339" s="69">
        <f t="shared" si="132"/>
        <v>0</v>
      </c>
      <c r="H339" s="69">
        <f t="shared" si="132"/>
        <v>0</v>
      </c>
      <c r="I339" s="69">
        <f t="shared" si="132"/>
        <v>0</v>
      </c>
      <c r="J339" s="69">
        <f t="shared" si="132"/>
        <v>0</v>
      </c>
      <c r="K339" s="69">
        <f t="shared" si="132"/>
        <v>0</v>
      </c>
      <c r="L339" s="69">
        <f t="shared" si="132"/>
        <v>0</v>
      </c>
      <c r="M339" s="69">
        <f t="shared" si="132"/>
        <v>0</v>
      </c>
      <c r="N339" s="69">
        <f t="shared" si="132"/>
        <v>0</v>
      </c>
      <c r="O339" s="69">
        <f t="shared" si="132"/>
        <v>0</v>
      </c>
      <c r="P339" s="30"/>
    </row>
    <row r="340" spans="1:16" x14ac:dyDescent="0.25">
      <c r="A340" s="33"/>
      <c r="B340" s="33"/>
      <c r="C340" s="33"/>
      <c r="D340" s="69"/>
      <c r="E340" s="69"/>
      <c r="F340" s="69"/>
      <c r="G340" s="69"/>
      <c r="H340" s="69"/>
      <c r="I340" s="69"/>
      <c r="J340" s="69"/>
      <c r="K340" s="69"/>
      <c r="L340" s="69"/>
      <c r="M340" s="69"/>
      <c r="N340" s="69"/>
      <c r="O340" s="69"/>
      <c r="P340" s="30"/>
    </row>
    <row r="341" spans="1:16" x14ac:dyDescent="0.25">
      <c r="A341" s="5" t="s">
        <v>236</v>
      </c>
      <c r="B341" s="33"/>
      <c r="C341" s="33"/>
      <c r="D341" s="69"/>
      <c r="E341" s="69"/>
      <c r="F341" s="69"/>
      <c r="G341" s="69"/>
      <c r="H341" s="69"/>
      <c r="I341" s="69"/>
      <c r="J341" s="69"/>
      <c r="K341" s="69"/>
      <c r="L341" s="69"/>
      <c r="M341" s="69"/>
      <c r="N341" s="69"/>
      <c r="O341" s="69"/>
      <c r="P341" s="30"/>
    </row>
    <row r="342" spans="1:16" x14ac:dyDescent="0.25">
      <c r="A342" s="5" t="s">
        <v>58</v>
      </c>
      <c r="B342" s="239" t="s">
        <v>746</v>
      </c>
      <c r="C342" s="5" t="s">
        <v>275</v>
      </c>
      <c r="D342" s="69">
        <f>IF(D$314&lt;=0,0,D332/D$314)</f>
        <v>4.4879824000000008</v>
      </c>
      <c r="E342" s="69">
        <f t="shared" ref="E342:O342" si="133">IF(E$314&lt;=0,0,E332/E$314)</f>
        <v>4.4879824000000008</v>
      </c>
      <c r="F342" s="69">
        <f t="shared" si="133"/>
        <v>4.4879824000000008</v>
      </c>
      <c r="G342" s="69">
        <f t="shared" si="133"/>
        <v>0</v>
      </c>
      <c r="H342" s="69">
        <f t="shared" si="133"/>
        <v>0</v>
      </c>
      <c r="I342" s="69">
        <f t="shared" si="133"/>
        <v>0</v>
      </c>
      <c r="J342" s="69">
        <f t="shared" si="133"/>
        <v>0</v>
      </c>
      <c r="K342" s="69">
        <f t="shared" si="133"/>
        <v>0</v>
      </c>
      <c r="L342" s="69">
        <f t="shared" si="133"/>
        <v>0</v>
      </c>
      <c r="M342" s="69">
        <f t="shared" si="133"/>
        <v>4.4879824000000008</v>
      </c>
      <c r="N342" s="69">
        <f t="shared" si="133"/>
        <v>4.4879824000000008</v>
      </c>
      <c r="O342" s="69">
        <f t="shared" si="133"/>
        <v>4.4879824000000008</v>
      </c>
      <c r="P342" s="30"/>
    </row>
    <row r="343" spans="1:16" x14ac:dyDescent="0.25">
      <c r="A343" s="5" t="s">
        <v>59</v>
      </c>
      <c r="B343" s="5"/>
      <c r="C343" s="5" t="s">
        <v>276</v>
      </c>
      <c r="D343" s="69">
        <f>IF(D$314&lt;=0,0,D333/D$314)</f>
        <v>0.82268415555555552</v>
      </c>
      <c r="E343" s="69">
        <f t="shared" ref="E343:O343" si="134">IF(E$314&lt;=0,0,E333/E$314)</f>
        <v>0.82268415555555552</v>
      </c>
      <c r="F343" s="69">
        <f>IF(F$314&lt;=0,0,F333/F$314)</f>
        <v>0.82268415555555552</v>
      </c>
      <c r="G343" s="69">
        <f t="shared" si="134"/>
        <v>0</v>
      </c>
      <c r="H343" s="69">
        <f t="shared" si="134"/>
        <v>0</v>
      </c>
      <c r="I343" s="69">
        <f t="shared" si="134"/>
        <v>0</v>
      </c>
      <c r="J343" s="69">
        <f t="shared" si="134"/>
        <v>0</v>
      </c>
      <c r="K343" s="69">
        <f t="shared" si="134"/>
        <v>0</v>
      </c>
      <c r="L343" s="69">
        <f t="shared" si="134"/>
        <v>0</v>
      </c>
      <c r="M343" s="69">
        <f t="shared" si="134"/>
        <v>0.82268415555555552</v>
      </c>
      <c r="N343" s="69">
        <f t="shared" si="134"/>
        <v>0.82268415555555552</v>
      </c>
      <c r="O343" s="69">
        <f t="shared" si="134"/>
        <v>0.82268415555555552</v>
      </c>
      <c r="P343" s="30"/>
    </row>
    <row r="344" spans="1:16" x14ac:dyDescent="0.25">
      <c r="A344" s="5" t="s">
        <v>60</v>
      </c>
      <c r="B344" s="5"/>
      <c r="C344" s="5" t="s">
        <v>277</v>
      </c>
      <c r="D344" s="69">
        <f>IF(D$314&lt;=0,0,D334/D$314)</f>
        <v>4.440064977484445</v>
      </c>
      <c r="E344" s="69">
        <f t="shared" ref="E344:O344" si="135">IF(E$314&lt;=0,0,E334/E$314)</f>
        <v>4.440064977484445</v>
      </c>
      <c r="F344" s="69">
        <f t="shared" si="135"/>
        <v>4.440064977484445</v>
      </c>
      <c r="G344" s="69">
        <f t="shared" si="135"/>
        <v>0</v>
      </c>
      <c r="H344" s="69">
        <f t="shared" si="135"/>
        <v>0</v>
      </c>
      <c r="I344" s="69">
        <f t="shared" si="135"/>
        <v>0</v>
      </c>
      <c r="J344" s="69">
        <f t="shared" si="135"/>
        <v>0</v>
      </c>
      <c r="K344" s="69">
        <f t="shared" si="135"/>
        <v>0</v>
      </c>
      <c r="L344" s="69">
        <f t="shared" si="135"/>
        <v>0</v>
      </c>
      <c r="M344" s="69">
        <f t="shared" si="135"/>
        <v>4.440064977484445</v>
      </c>
      <c r="N344" s="69">
        <f t="shared" si="135"/>
        <v>4.440064977484445</v>
      </c>
      <c r="O344" s="69">
        <f t="shared" si="135"/>
        <v>4.440064977484445</v>
      </c>
      <c r="P344" s="30"/>
    </row>
    <row r="345" spans="1:16" x14ac:dyDescent="0.25">
      <c r="P345" s="30"/>
    </row>
    <row r="346" spans="1:16" x14ac:dyDescent="0.25">
      <c r="P346" s="30"/>
    </row>
    <row r="347" spans="1:16" x14ac:dyDescent="0.25">
      <c r="A347" s="59" t="str">
        <f>'Saisie 2_bovins'!B24</f>
        <v>Génisse (&gt; 2 ans)</v>
      </c>
      <c r="B347" s="59"/>
      <c r="C347" s="59"/>
      <c r="D347" s="59" t="s">
        <v>132</v>
      </c>
      <c r="E347" s="59" t="s">
        <v>133</v>
      </c>
      <c r="F347" s="59" t="s">
        <v>134</v>
      </c>
      <c r="G347" s="59" t="s">
        <v>135</v>
      </c>
      <c r="H347" s="59" t="s">
        <v>136</v>
      </c>
      <c r="I347" s="59" t="s">
        <v>137</v>
      </c>
      <c r="J347" s="59" t="s">
        <v>138</v>
      </c>
      <c r="K347" s="59" t="s">
        <v>139</v>
      </c>
      <c r="L347" s="59" t="s">
        <v>140</v>
      </c>
      <c r="M347" s="59" t="s">
        <v>141</v>
      </c>
      <c r="N347" s="59" t="s">
        <v>142</v>
      </c>
      <c r="O347" s="59" t="s">
        <v>143</v>
      </c>
      <c r="P347" s="30"/>
    </row>
    <row r="348" spans="1:16" x14ac:dyDescent="0.25">
      <c r="A348" s="42" t="s">
        <v>280</v>
      </c>
      <c r="B348" s="42"/>
      <c r="C348" s="42"/>
      <c r="D348" t="str">
        <f>'Saisie 2_bovins'!G26</f>
        <v>Ensilage d'herbe</v>
      </c>
      <c r="E348" t="str">
        <f>'Saisie 2_bovins'!H26</f>
        <v>Ensilage d'herbe</v>
      </c>
      <c r="F348" t="str">
        <f>'Saisie 2_bovins'!I26</f>
        <v>Ensilage d'herbe</v>
      </c>
      <c r="G348" t="str">
        <f>'Saisie 2_bovins'!J26</f>
        <v>Ensilage d'herbe</v>
      </c>
      <c r="H348">
        <f>'Saisie 2_bovins'!K26</f>
        <v>0</v>
      </c>
      <c r="I348">
        <f>'Saisie 2_bovins'!L26</f>
        <v>0</v>
      </c>
      <c r="J348">
        <f>'Saisie 2_bovins'!M26</f>
        <v>0</v>
      </c>
      <c r="K348">
        <f>'Saisie 2_bovins'!N26</f>
        <v>0</v>
      </c>
      <c r="L348">
        <f>'Saisie 2_bovins'!O26</f>
        <v>0</v>
      </c>
      <c r="M348">
        <f>'Saisie 2_bovins'!P26</f>
        <v>0</v>
      </c>
      <c r="N348">
        <f>'Saisie 2_bovins'!Q26</f>
        <v>0</v>
      </c>
      <c r="O348">
        <f>'Saisie 2_bovins'!R26</f>
        <v>0</v>
      </c>
      <c r="P348" s="30"/>
    </row>
    <row r="349" spans="1:16" x14ac:dyDescent="0.25">
      <c r="A349" t="s">
        <v>151</v>
      </c>
      <c r="B349" t="s">
        <v>328</v>
      </c>
      <c r="C349" t="s">
        <v>312</v>
      </c>
      <c r="D349" s="60">
        <f>IF(D348=param_bovins!$A$126,param_bovins!$H$126*'Saisie 2_bovins'!$D$21+param_bovins!$I$126,IF(Calculs_bovins!D348=param_bovins!$A$127,param_bovins!$H$127*'Saisie 2_bovins'!$D$21+param_bovins!$I$127,IF(Calculs_bovins!D348=param_bovins!$A$128,param_bovins!$H$128*'Saisie 2_bovins'!$D$21+param_bovins!$I$128,0)))</f>
        <v>200.5</v>
      </c>
      <c r="E349" s="60">
        <f>IF(E348=param_bovins!$A$126,param_bovins!$H$126*'Saisie 2_bovins'!$D$21+param_bovins!$I$126,IF(Calculs_bovins!E348=param_bovins!$A$127,param_bovins!$H$127*'Saisie 2_bovins'!$D$21+param_bovins!$I$127,IF(Calculs_bovins!E348=param_bovins!$A$128,param_bovins!$H$128*'Saisie 2_bovins'!$D$21+param_bovins!$I$128,0)))</f>
        <v>200.5</v>
      </c>
      <c r="F349" s="60">
        <f>IF(F348=param_bovins!$A$126,param_bovins!$H$126*'Saisie 2_bovins'!$D$21+param_bovins!$I$126,IF(Calculs_bovins!F348=param_bovins!$A$127,param_bovins!$H$127*'Saisie 2_bovins'!$D$21+param_bovins!$I$127,IF(Calculs_bovins!F348=param_bovins!$A$128,param_bovins!$H$128*'Saisie 2_bovins'!$D$21+param_bovins!$I$128,0)))</f>
        <v>200.5</v>
      </c>
      <c r="G349" s="60">
        <f>IF(G348=param_bovins!$A$126,param_bovins!$H$126*'Saisie 2_bovins'!$D$21+param_bovins!$I$126,IF(Calculs_bovins!G348=param_bovins!$A$127,param_bovins!$H$127*'Saisie 2_bovins'!$D$21+param_bovins!$I$127,IF(Calculs_bovins!G348=param_bovins!$A$128,param_bovins!$H$128*'Saisie 2_bovins'!$D$21+param_bovins!$I$128,0)))</f>
        <v>200.5</v>
      </c>
      <c r="H349" s="60">
        <f>IF(H348=param_bovins!$A$126,param_bovins!$H$126*'Saisie 2_bovins'!$D$21+param_bovins!$I$126,IF(Calculs_bovins!H348=param_bovins!$A$127,param_bovins!$H$127*'Saisie 2_bovins'!$D$21+param_bovins!$I$127,IF(Calculs_bovins!H348=param_bovins!$A$128,param_bovins!$H$128*'Saisie 2_bovins'!$D$21+param_bovins!$I$128,0)))</f>
        <v>0</v>
      </c>
      <c r="I349" s="60">
        <f>IF(I348=param_bovins!$A$126,param_bovins!$H$126*'Saisie 2_bovins'!$D$21+param_bovins!$I$126,IF(Calculs_bovins!I348=param_bovins!$A$127,param_bovins!$H$127*'Saisie 2_bovins'!$D$21+param_bovins!$I$127,IF(Calculs_bovins!I348=param_bovins!$A$128,param_bovins!$H$128*'Saisie 2_bovins'!$D$21+param_bovins!$I$128,0)))</f>
        <v>0</v>
      </c>
      <c r="J349" s="60">
        <f>IF(J348=param_bovins!$A$126,param_bovins!$H$126*'Saisie 2_bovins'!$D$21+param_bovins!$I$126,IF(Calculs_bovins!J348=param_bovins!$A$127,param_bovins!$H$127*'Saisie 2_bovins'!$D$21+param_bovins!$I$127,IF(Calculs_bovins!J348=param_bovins!$A$128,param_bovins!$H$128*'Saisie 2_bovins'!$D$21+param_bovins!$I$128,0)))</f>
        <v>0</v>
      </c>
      <c r="K349" s="60">
        <f>IF(K348=param_bovins!$A$126,param_bovins!$H$126*'Saisie 2_bovins'!$D$21+param_bovins!$I$126,IF(Calculs_bovins!K348=param_bovins!$A$127,param_bovins!$H$127*'Saisie 2_bovins'!$D$21+param_bovins!$I$127,IF(Calculs_bovins!K348=param_bovins!$A$128,param_bovins!$H$128*'Saisie 2_bovins'!$D$21+param_bovins!$I$128,0)))</f>
        <v>0</v>
      </c>
      <c r="L349" s="60">
        <f>IF(L348=param_bovins!$A$126,param_bovins!$H$126*'Saisie 2_bovins'!$D$21+param_bovins!$I$126,IF(Calculs_bovins!L348=param_bovins!$A$127,param_bovins!$H$127*'Saisie 2_bovins'!$D$21+param_bovins!$I$127,IF(Calculs_bovins!L348=param_bovins!$A$128,param_bovins!$H$128*'Saisie 2_bovins'!$D$21+param_bovins!$I$128,0)))</f>
        <v>0</v>
      </c>
      <c r="M349" s="60">
        <f>IF(M348=param_bovins!$A$126,param_bovins!$H$126*'Saisie 2_bovins'!$D$21+param_bovins!$I$126,IF(Calculs_bovins!M348=param_bovins!$A$127,param_bovins!$H$127*'Saisie 2_bovins'!$D$21+param_bovins!$I$127,IF(Calculs_bovins!M348=param_bovins!$A$128,param_bovins!$H$128*'Saisie 2_bovins'!$D$21+param_bovins!$I$128,0)))</f>
        <v>0</v>
      </c>
      <c r="N349" s="60">
        <f>IF(N348=param_bovins!$A$126,param_bovins!$H$126*'Saisie 2_bovins'!$D$21+param_bovins!$I$126,IF(Calculs_bovins!N348=param_bovins!$A$127,param_bovins!$H$127*'Saisie 2_bovins'!$D$21+param_bovins!$I$127,IF(Calculs_bovins!N348=param_bovins!$A$128,param_bovins!$H$128*'Saisie 2_bovins'!$D$21+param_bovins!$I$128,0)))</f>
        <v>0</v>
      </c>
      <c r="O349" s="60">
        <f>IF(O348=param_bovins!$A$126,param_bovins!$H$126*'Saisie 2_bovins'!$D$21+param_bovins!$I$126,IF(Calculs_bovins!O348=param_bovins!$A$127,param_bovins!$H$127*'Saisie 2_bovins'!$D$21+param_bovins!$I$127,IF(Calculs_bovins!O348=param_bovins!$A$128,param_bovins!$H$128*'Saisie 2_bovins'!$D$21+param_bovins!$I$128,0)))</f>
        <v>0</v>
      </c>
      <c r="P349" s="30"/>
    </row>
    <row r="350" spans="1:16" x14ac:dyDescent="0.25">
      <c r="A350" t="s">
        <v>144</v>
      </c>
      <c r="B350" t="s">
        <v>329</v>
      </c>
      <c r="C350" t="s">
        <v>313</v>
      </c>
      <c r="D350" s="74">
        <f>IF(D348=param_bovins!$A$126,param_bovins!$B$126*'Saisie 2_bovins'!$D$25+param_bovins!$C$126,IF(Calculs_bovins!D348=param_bovins!$A$127,param_bovins!$B$127*'Saisie 2_bovins'!$D$25+param_bovins!$C$127,IF(Calculs_bovins!D348=param_bovins!$A$128,param_bovins!$B$128*'Saisie 2_bovins'!$D$25+param_bovins!$C$128,0)))/1000</f>
        <v>4.9400000000000004</v>
      </c>
      <c r="E350" s="74">
        <f>IF(E348=param_bovins!$A$126,param_bovins!$B$126*'Saisie 2_bovins'!$D$25+param_bovins!$C$126,IF(Calculs_bovins!E348=param_bovins!$A$127,param_bovins!$B$127*'Saisie 2_bovins'!$D$25+param_bovins!$C$127,IF(Calculs_bovins!E348=param_bovins!$A$128,param_bovins!$B$128*'Saisie 2_bovins'!$D$25+param_bovins!$C$128,0)))/1000</f>
        <v>4.9400000000000004</v>
      </c>
      <c r="F350" s="74">
        <f>IF(F348=param_bovins!$A$126,param_bovins!$B$126*'Saisie 2_bovins'!$D$25+param_bovins!$C$126,IF(Calculs_bovins!F348=param_bovins!$A$127,param_bovins!$B$127*'Saisie 2_bovins'!$D$25+param_bovins!$C$127,IF(Calculs_bovins!F348=param_bovins!$A$128,param_bovins!$B$128*'Saisie 2_bovins'!$D$25+param_bovins!$C$128,0)))/1000</f>
        <v>4.9400000000000004</v>
      </c>
      <c r="G350" s="74">
        <f>IF(G348=param_bovins!$A$126,param_bovins!$B$126*'Saisie 2_bovins'!$D$25+param_bovins!$C$126,IF(Calculs_bovins!G348=param_bovins!$A$127,param_bovins!$B$127*'Saisie 2_bovins'!$D$25+param_bovins!$C$127,IF(Calculs_bovins!G348=param_bovins!$A$128,param_bovins!$B$128*'Saisie 2_bovins'!$D$25+param_bovins!$C$128,0)))/1000</f>
        <v>4.9400000000000004</v>
      </c>
      <c r="H350" s="74">
        <f>IF(H348=param_bovins!$A$126,param_bovins!$B$126*'Saisie 2_bovins'!$D$25+param_bovins!$C$126,IF(Calculs_bovins!H348=param_bovins!$A$127,param_bovins!$B$127*'Saisie 2_bovins'!$D$25+param_bovins!$C$127,IF(Calculs_bovins!H348=param_bovins!$A$128,param_bovins!$B$128*'Saisie 2_bovins'!$D$25+param_bovins!$C$128,0)))/1000</f>
        <v>0</v>
      </c>
      <c r="I350" s="74">
        <f>IF(I348=param_bovins!$A$126,param_bovins!$B$126*'Saisie 2_bovins'!$D$25+param_bovins!$C$126,IF(Calculs_bovins!I348=param_bovins!$A$127,param_bovins!$B$127*'Saisie 2_bovins'!$D$25+param_bovins!$C$127,IF(Calculs_bovins!I348=param_bovins!$A$128,param_bovins!$B$128*'Saisie 2_bovins'!$D$25+param_bovins!$C$128,0)))/1000</f>
        <v>0</v>
      </c>
      <c r="J350" s="74">
        <f>IF(J348=param_bovins!$A$126,param_bovins!$B$126*'Saisie 2_bovins'!$D$25+param_bovins!$C$126,IF(Calculs_bovins!J348=param_bovins!$A$127,param_bovins!$B$127*'Saisie 2_bovins'!$D$25+param_bovins!$C$127,IF(Calculs_bovins!J348=param_bovins!$A$128,param_bovins!$B$128*'Saisie 2_bovins'!$D$25+param_bovins!$C$128,0)))/1000</f>
        <v>0</v>
      </c>
      <c r="K350" s="74">
        <f>IF(K348=param_bovins!$A$126,param_bovins!$B$126*'Saisie 2_bovins'!$D$25+param_bovins!$C$126,IF(Calculs_bovins!K348=param_bovins!$A$127,param_bovins!$B$127*'Saisie 2_bovins'!$D$25+param_bovins!$C$127,IF(Calculs_bovins!K348=param_bovins!$A$128,param_bovins!$B$128*'Saisie 2_bovins'!$D$25+param_bovins!$C$128,0)))/1000</f>
        <v>0</v>
      </c>
      <c r="L350" s="74">
        <f>IF(L348=param_bovins!$A$126,param_bovins!$B$126*'Saisie 2_bovins'!$D$25+param_bovins!$C$126,IF(Calculs_bovins!L348=param_bovins!$A$127,param_bovins!$B$127*'Saisie 2_bovins'!$D$25+param_bovins!$C$127,IF(Calculs_bovins!L348=param_bovins!$A$128,param_bovins!$B$128*'Saisie 2_bovins'!$D$25+param_bovins!$C$128,0)))/1000</f>
        <v>0</v>
      </c>
      <c r="M350" s="74">
        <f>IF(M348=param_bovins!$A$126,param_bovins!$B$126*'Saisie 2_bovins'!$D$25+param_bovins!$C$126,IF(Calculs_bovins!M348=param_bovins!$A$127,param_bovins!$B$127*'Saisie 2_bovins'!$D$25+param_bovins!$C$127,IF(Calculs_bovins!M348=param_bovins!$A$128,param_bovins!$B$128*'Saisie 2_bovins'!$D$25+param_bovins!$C$128,0)))/1000</f>
        <v>0</v>
      </c>
      <c r="N350" s="74">
        <f>IF(N348=param_bovins!$A$126,param_bovins!$B$126*'Saisie 2_bovins'!$D$25+param_bovins!$C$126,IF(Calculs_bovins!N348=param_bovins!$A$127,param_bovins!$B$127*'Saisie 2_bovins'!$D$25+param_bovins!$C$127,IF(Calculs_bovins!N348=param_bovins!$A$128,param_bovins!$B$128*'Saisie 2_bovins'!$D$25+param_bovins!$C$128,0)))/1000</f>
        <v>0</v>
      </c>
      <c r="O350" s="74">
        <f>IF(O348=param_bovins!$A$126,param_bovins!$B$126*'Saisie 2_bovins'!$D$25+param_bovins!$C$126,IF(Calculs_bovins!O348=param_bovins!$A$127,param_bovins!$B$127*'Saisie 2_bovins'!$D$25+param_bovins!$C$127,IF(Calculs_bovins!O348=param_bovins!$A$128,param_bovins!$B$128*'Saisie 2_bovins'!$D$25+param_bovins!$C$128,0)))/1000</f>
        <v>0</v>
      </c>
      <c r="P350" s="30"/>
    </row>
    <row r="351" spans="1:16" x14ac:dyDescent="0.25">
      <c r="A351" t="s">
        <v>146</v>
      </c>
      <c r="B351" t="s">
        <v>329</v>
      </c>
      <c r="C351" t="s">
        <v>314</v>
      </c>
      <c r="D351" s="60">
        <f>IF(D348=param_bovins!$A$126,param_bovins!$D$126*'Saisie 2_bovins'!$D$25+param_bovins!$E$126,IF(Calculs_bovins!D348=param_bovins!$A$127,param_bovins!$D$127*'Saisie 2_bovins'!$D$25+param_bovins!$E$127,IF(Calculs_bovins!D348=param_bovins!$A$128,param_bovins!$D$128*'Saisie 2_bovins'!$D$25+param_bovins!$E$128,0)))/1000</f>
        <v>0.95799999999999996</v>
      </c>
      <c r="E351" s="60">
        <f>IF(E348=param_bovins!$A$126,param_bovins!$D$126*'Saisie 2_bovins'!$D$25+param_bovins!$E$126,IF(Calculs_bovins!E348=param_bovins!$A$127,param_bovins!$D$127*'Saisie 2_bovins'!$D$25+param_bovins!$E$127,IF(Calculs_bovins!E348=param_bovins!$A$128,param_bovins!$D$128*'Saisie 2_bovins'!$D$25+param_bovins!$E$128,0)))/1000</f>
        <v>0.95799999999999996</v>
      </c>
      <c r="F351" s="60">
        <f>IF(F348=param_bovins!$A$126,param_bovins!$D$126*'Saisie 2_bovins'!$D$25+param_bovins!$E$126,IF(Calculs_bovins!F348=param_bovins!$A$127,param_bovins!$D$127*'Saisie 2_bovins'!$D$25+param_bovins!$E$127,IF(Calculs_bovins!F348=param_bovins!$A$128,param_bovins!$D$128*'Saisie 2_bovins'!$D$25+param_bovins!$E$128,0)))/1000</f>
        <v>0.95799999999999996</v>
      </c>
      <c r="G351" s="60">
        <f>IF(G348=param_bovins!$A$126,param_bovins!$D$126*'Saisie 2_bovins'!$D$25+param_bovins!$E$126,IF(Calculs_bovins!G348=param_bovins!$A$127,param_bovins!$D$127*'Saisie 2_bovins'!$D$25+param_bovins!$E$127,IF(Calculs_bovins!G348=param_bovins!$A$128,param_bovins!$D$128*'Saisie 2_bovins'!$D$25+param_bovins!$E$128,0)))/1000</f>
        <v>0.95799999999999996</v>
      </c>
      <c r="H351" s="60">
        <f>IF(H348=param_bovins!$A$126,param_bovins!$D$126*'Saisie 2_bovins'!$D$25+param_bovins!$E$126,IF(Calculs_bovins!H348=param_bovins!$A$127,param_bovins!$D$127*'Saisie 2_bovins'!$D$25+param_bovins!$E$127,IF(Calculs_bovins!H348=param_bovins!$A$128,param_bovins!$D$128*'Saisie 2_bovins'!$D$25+param_bovins!$E$128,0)))/1000</f>
        <v>0</v>
      </c>
      <c r="I351" s="60">
        <f>IF(I348=param_bovins!$A$126,param_bovins!$D$126*'Saisie 2_bovins'!$D$25+param_bovins!$E$126,IF(Calculs_bovins!I348=param_bovins!$A$127,param_bovins!$D$127*'Saisie 2_bovins'!$D$25+param_bovins!$E$127,IF(Calculs_bovins!I348=param_bovins!$A$128,param_bovins!$D$128*'Saisie 2_bovins'!$D$25+param_bovins!$E$128,0)))/1000</f>
        <v>0</v>
      </c>
      <c r="J351" s="60">
        <f>IF(J348=param_bovins!$A$126,param_bovins!$D$126*'Saisie 2_bovins'!$D$25+param_bovins!$E$126,IF(Calculs_bovins!J348=param_bovins!$A$127,param_bovins!$D$127*'Saisie 2_bovins'!$D$25+param_bovins!$E$127,IF(Calculs_bovins!J348=param_bovins!$A$128,param_bovins!$D$128*'Saisie 2_bovins'!$D$25+param_bovins!$E$128,0)))/1000</f>
        <v>0</v>
      </c>
      <c r="K351" s="60">
        <f>IF(K348=param_bovins!$A$126,param_bovins!$D$126*'Saisie 2_bovins'!$D$25+param_bovins!$E$126,IF(Calculs_bovins!K348=param_bovins!$A$127,param_bovins!$D$127*'Saisie 2_bovins'!$D$25+param_bovins!$E$127,IF(Calculs_bovins!K348=param_bovins!$A$128,param_bovins!$D$128*'Saisie 2_bovins'!$D$25+param_bovins!$E$128,0)))/1000</f>
        <v>0</v>
      </c>
      <c r="L351" s="60">
        <f>IF(L348=param_bovins!$A$126,param_bovins!$D$126*'Saisie 2_bovins'!$D$25+param_bovins!$E$126,IF(Calculs_bovins!L348=param_bovins!$A$127,param_bovins!$D$127*'Saisie 2_bovins'!$D$25+param_bovins!$E$127,IF(Calculs_bovins!L348=param_bovins!$A$128,param_bovins!$D$128*'Saisie 2_bovins'!$D$25+param_bovins!$E$128,0)))/1000</f>
        <v>0</v>
      </c>
      <c r="M351" s="60">
        <f>IF(M348=param_bovins!$A$126,param_bovins!$D$126*'Saisie 2_bovins'!$D$25+param_bovins!$E$126,IF(Calculs_bovins!M348=param_bovins!$A$127,param_bovins!$D$127*'Saisie 2_bovins'!$D$25+param_bovins!$E$127,IF(Calculs_bovins!M348=param_bovins!$A$128,param_bovins!$D$128*'Saisie 2_bovins'!$D$25+param_bovins!$E$128,0)))/1000</f>
        <v>0</v>
      </c>
      <c r="N351" s="60">
        <f>IF(N348=param_bovins!$A$126,param_bovins!$D$126*'Saisie 2_bovins'!$D$25+param_bovins!$E$126,IF(Calculs_bovins!N348=param_bovins!$A$127,param_bovins!$D$127*'Saisie 2_bovins'!$D$25+param_bovins!$E$127,IF(Calculs_bovins!N348=param_bovins!$A$128,param_bovins!$D$128*'Saisie 2_bovins'!$D$25+param_bovins!$E$128,0)))/1000</f>
        <v>0</v>
      </c>
      <c r="O351" s="60">
        <f>IF(O348=param_bovins!$A$126,param_bovins!$D$126*'Saisie 2_bovins'!$D$25+param_bovins!$E$126,IF(Calculs_bovins!O348=param_bovins!$A$127,param_bovins!$D$127*'Saisie 2_bovins'!$D$25+param_bovins!$E$127,IF(Calculs_bovins!O348=param_bovins!$A$128,param_bovins!$D$128*'Saisie 2_bovins'!$D$25+param_bovins!$E$128,0)))/1000</f>
        <v>0</v>
      </c>
      <c r="P351" s="30"/>
    </row>
    <row r="352" spans="1:16" x14ac:dyDescent="0.25">
      <c r="A352" t="s">
        <v>150</v>
      </c>
      <c r="B352" t="s">
        <v>329</v>
      </c>
      <c r="C352" t="s">
        <v>315</v>
      </c>
      <c r="D352" s="60">
        <f>IF(D348=param_bovins!$A$126,param_bovins!$F$126*'Saisie 2_bovins'!$D$25+param_bovins!$G$126,IF(Calculs_bovins!D348=param_bovins!$A$127,param_bovins!$F$127*'Saisie 2_bovins'!$D$25+param_bovins!$G$127,IF(Calculs_bovins!D348=param_bovins!$A$128,param_bovins!$F$128*'Saisie 2_bovins'!$D$25+param_bovins!$G$128,0)))/1000</f>
        <v>4.58</v>
      </c>
      <c r="E352" s="60">
        <f>IF(E348=param_bovins!$A$126,param_bovins!$F$126*'Saisie 2_bovins'!$D$25+param_bovins!$G$126,IF(Calculs_bovins!E348=param_bovins!$A$127,param_bovins!$F$127*'Saisie 2_bovins'!$D$25+param_bovins!$G$127,IF(Calculs_bovins!E348=param_bovins!$A$128,param_bovins!$F$128*'Saisie 2_bovins'!$D$25+param_bovins!$G$128,0)))/1000</f>
        <v>4.58</v>
      </c>
      <c r="F352" s="60">
        <f>IF(F348=param_bovins!$A$126,param_bovins!$F$126*'Saisie 2_bovins'!$D$25+param_bovins!$G$126,IF(Calculs_bovins!F348=param_bovins!$A$127,param_bovins!$F$127*'Saisie 2_bovins'!$D$25+param_bovins!$G$127,IF(Calculs_bovins!F348=param_bovins!$A$128,param_bovins!$F$128*'Saisie 2_bovins'!$D$25+param_bovins!$G$128,0)))/1000</f>
        <v>4.58</v>
      </c>
      <c r="G352" s="60">
        <f>IF(G348=param_bovins!$A$126,param_bovins!$F$126*'Saisie 2_bovins'!$D$25+param_bovins!$G$126,IF(Calculs_bovins!G348=param_bovins!$A$127,param_bovins!$F$127*'Saisie 2_bovins'!$D$25+param_bovins!$G$127,IF(Calculs_bovins!G348=param_bovins!$A$128,param_bovins!$F$128*'Saisie 2_bovins'!$D$25+param_bovins!$G$128,0)))/1000</f>
        <v>4.58</v>
      </c>
      <c r="H352" s="60">
        <f>IF(H348=param_bovins!$A$126,param_bovins!$F$126*'Saisie 2_bovins'!$D$25+param_bovins!$G$126,IF(Calculs_bovins!H348=param_bovins!$A$127,param_bovins!$F$127*'Saisie 2_bovins'!$D$25+param_bovins!$G$127,IF(Calculs_bovins!H348=param_bovins!$A$128,param_bovins!$F$128*'Saisie 2_bovins'!$D$25+param_bovins!$G$128,0)))/1000</f>
        <v>0</v>
      </c>
      <c r="I352" s="60">
        <f>IF(I348=param_bovins!$A$126,param_bovins!$F$126*'Saisie 2_bovins'!$D$25+param_bovins!$G$126,IF(Calculs_bovins!I348=param_bovins!$A$127,param_bovins!$F$127*'Saisie 2_bovins'!$D$25+param_bovins!$G$127,IF(Calculs_bovins!I348=param_bovins!$A$128,param_bovins!$F$128*'Saisie 2_bovins'!$D$25+param_bovins!$G$128,0)))/1000</f>
        <v>0</v>
      </c>
      <c r="J352" s="60">
        <f>IF(J348=param_bovins!$A$126,param_bovins!$F$126*'Saisie 2_bovins'!$D$25+param_bovins!$G$126,IF(Calculs_bovins!J348=param_bovins!$A$127,param_bovins!$F$127*'Saisie 2_bovins'!$D$25+param_bovins!$G$127,IF(Calculs_bovins!J348=param_bovins!$A$128,param_bovins!$F$128*'Saisie 2_bovins'!$D$25+param_bovins!$G$128,0)))/1000</f>
        <v>0</v>
      </c>
      <c r="K352" s="60">
        <f>IF(K348=param_bovins!$A$126,param_bovins!$F$126*'Saisie 2_bovins'!$D$25+param_bovins!$G$126,IF(Calculs_bovins!K348=param_bovins!$A$127,param_bovins!$F$127*'Saisie 2_bovins'!$D$25+param_bovins!$G$127,IF(Calculs_bovins!K348=param_bovins!$A$128,param_bovins!$F$128*'Saisie 2_bovins'!$D$25+param_bovins!$G$128,0)))/1000</f>
        <v>0</v>
      </c>
      <c r="L352" s="60">
        <f>IF(L348=param_bovins!$A$126,param_bovins!$F$126*'Saisie 2_bovins'!$D$25+param_bovins!$G$126,IF(Calculs_bovins!L348=param_bovins!$A$127,param_bovins!$F$127*'Saisie 2_bovins'!$D$25+param_bovins!$G$127,IF(Calculs_bovins!L348=param_bovins!$A$128,param_bovins!$F$128*'Saisie 2_bovins'!$D$25+param_bovins!$G$128,0)))/1000</f>
        <v>0</v>
      </c>
      <c r="M352" s="60">
        <f>IF(M348=param_bovins!$A$126,param_bovins!$F$126*'Saisie 2_bovins'!$D$25+param_bovins!$G$126,IF(Calculs_bovins!M348=param_bovins!$A$127,param_bovins!$F$127*'Saisie 2_bovins'!$D$25+param_bovins!$G$127,IF(Calculs_bovins!M348=param_bovins!$A$128,param_bovins!$F$128*'Saisie 2_bovins'!$D$25+param_bovins!$G$128,0)))/1000</f>
        <v>0</v>
      </c>
      <c r="N352" s="60">
        <f>IF(N348=param_bovins!$A$126,param_bovins!$F$126*'Saisie 2_bovins'!$D$25+param_bovins!$G$126,IF(Calculs_bovins!N348=param_bovins!$A$127,param_bovins!$F$127*'Saisie 2_bovins'!$D$25+param_bovins!$G$127,IF(Calculs_bovins!N348=param_bovins!$A$128,param_bovins!$F$128*'Saisie 2_bovins'!$D$25+param_bovins!$G$128,0)))/1000</f>
        <v>0</v>
      </c>
      <c r="O352" s="60">
        <f>IF(O348=param_bovins!$A$126,param_bovins!$F$126*'Saisie 2_bovins'!$D$25+param_bovins!$G$126,IF(Calculs_bovins!O348=param_bovins!$A$127,param_bovins!$F$127*'Saisie 2_bovins'!$D$25+param_bovins!$G$127,IF(Calculs_bovins!O348=param_bovins!$A$128,param_bovins!$F$128*'Saisie 2_bovins'!$D$25+param_bovins!$G$128,0)))/1000</f>
        <v>0</v>
      </c>
      <c r="P352" s="30"/>
    </row>
    <row r="353" spans="1:16" x14ac:dyDescent="0.25">
      <c r="A353" s="36" t="s">
        <v>291</v>
      </c>
      <c r="B353" s="36"/>
      <c r="C353" s="36" t="s">
        <v>316</v>
      </c>
      <c r="D353" s="72">
        <f>D350*12</f>
        <v>59.28</v>
      </c>
      <c r="E353" s="72">
        <f t="shared" ref="E353:O353" si="136">E350*12</f>
        <v>59.28</v>
      </c>
      <c r="F353" s="72">
        <f t="shared" si="136"/>
        <v>59.28</v>
      </c>
      <c r="G353" s="72">
        <f t="shared" si="136"/>
        <v>59.28</v>
      </c>
      <c r="H353" s="72">
        <f t="shared" si="136"/>
        <v>0</v>
      </c>
      <c r="I353" s="72">
        <f t="shared" si="136"/>
        <v>0</v>
      </c>
      <c r="J353" s="72">
        <f t="shared" si="136"/>
        <v>0</v>
      </c>
      <c r="K353" s="72">
        <f t="shared" si="136"/>
        <v>0</v>
      </c>
      <c r="L353" s="72">
        <f t="shared" si="136"/>
        <v>0</v>
      </c>
      <c r="M353" s="72">
        <f t="shared" si="136"/>
        <v>0</v>
      </c>
      <c r="N353" s="72">
        <f t="shared" si="136"/>
        <v>0</v>
      </c>
      <c r="O353" s="72">
        <f t="shared" si="136"/>
        <v>0</v>
      </c>
      <c r="P353" s="30"/>
    </row>
    <row r="354" spans="1:16" x14ac:dyDescent="0.25">
      <c r="A354" s="36"/>
      <c r="B354" s="36"/>
      <c r="C354" s="36" t="s">
        <v>317</v>
      </c>
      <c r="D354" s="72">
        <f>D351*12</f>
        <v>11.495999999999999</v>
      </c>
      <c r="E354" s="72">
        <f t="shared" ref="E354:O354" si="137">E351*12</f>
        <v>11.495999999999999</v>
      </c>
      <c r="F354" s="72">
        <f t="shared" si="137"/>
        <v>11.495999999999999</v>
      </c>
      <c r="G354" s="72">
        <f t="shared" si="137"/>
        <v>11.495999999999999</v>
      </c>
      <c r="H354" s="72">
        <f t="shared" si="137"/>
        <v>0</v>
      </c>
      <c r="I354" s="72">
        <f t="shared" si="137"/>
        <v>0</v>
      </c>
      <c r="J354" s="72">
        <f t="shared" si="137"/>
        <v>0</v>
      </c>
      <c r="K354" s="72">
        <f t="shared" si="137"/>
        <v>0</v>
      </c>
      <c r="L354" s="72">
        <f t="shared" si="137"/>
        <v>0</v>
      </c>
      <c r="M354" s="72">
        <f t="shared" si="137"/>
        <v>0</v>
      </c>
      <c r="N354" s="72">
        <f t="shared" si="137"/>
        <v>0</v>
      </c>
      <c r="O354" s="72">
        <f t="shared" si="137"/>
        <v>0</v>
      </c>
      <c r="P354" s="30"/>
    </row>
    <row r="355" spans="1:16" x14ac:dyDescent="0.25">
      <c r="A355" s="36"/>
      <c r="B355" s="36"/>
      <c r="C355" s="36" t="s">
        <v>318</v>
      </c>
      <c r="D355" s="72">
        <f>D352*12</f>
        <v>54.96</v>
      </c>
      <c r="E355" s="72">
        <f t="shared" ref="E355:O355" si="138">E352*12</f>
        <v>54.96</v>
      </c>
      <c r="F355" s="72">
        <f t="shared" si="138"/>
        <v>54.96</v>
      </c>
      <c r="G355" s="72">
        <f t="shared" si="138"/>
        <v>54.96</v>
      </c>
      <c r="H355" s="72">
        <f t="shared" si="138"/>
        <v>0</v>
      </c>
      <c r="I355" s="72">
        <f t="shared" si="138"/>
        <v>0</v>
      </c>
      <c r="J355" s="72">
        <f t="shared" si="138"/>
        <v>0</v>
      </c>
      <c r="K355" s="72">
        <f t="shared" si="138"/>
        <v>0</v>
      </c>
      <c r="L355" s="72">
        <f t="shared" si="138"/>
        <v>0</v>
      </c>
      <c r="M355" s="72">
        <f t="shared" si="138"/>
        <v>0</v>
      </c>
      <c r="N355" s="72">
        <f t="shared" si="138"/>
        <v>0</v>
      </c>
      <c r="O355" s="72">
        <f t="shared" si="138"/>
        <v>0</v>
      </c>
      <c r="P355" s="30"/>
    </row>
    <row r="356" spans="1:16" x14ac:dyDescent="0.25">
      <c r="A356" s="57"/>
      <c r="B356" s="57"/>
      <c r="C356" s="36" t="s">
        <v>319</v>
      </c>
      <c r="D356" s="72">
        <f>D349/(365.25/12)</f>
        <v>6.5872689938398361</v>
      </c>
      <c r="E356" s="72">
        <f t="shared" ref="E356:O356" si="139">E349/(365.25/12)</f>
        <v>6.5872689938398361</v>
      </c>
      <c r="F356" s="72">
        <f t="shared" si="139"/>
        <v>6.5872689938398361</v>
      </c>
      <c r="G356" s="72">
        <f t="shared" si="139"/>
        <v>6.5872689938398361</v>
      </c>
      <c r="H356" s="72">
        <f t="shared" si="139"/>
        <v>0</v>
      </c>
      <c r="I356" s="72">
        <f t="shared" si="139"/>
        <v>0</v>
      </c>
      <c r="J356" s="72">
        <f t="shared" si="139"/>
        <v>0</v>
      </c>
      <c r="K356" s="72">
        <f t="shared" si="139"/>
        <v>0</v>
      </c>
      <c r="L356" s="72">
        <f t="shared" si="139"/>
        <v>0</v>
      </c>
      <c r="M356" s="72">
        <f t="shared" si="139"/>
        <v>0</v>
      </c>
      <c r="N356" s="72">
        <f t="shared" si="139"/>
        <v>0</v>
      </c>
      <c r="O356" s="72">
        <f t="shared" si="139"/>
        <v>0</v>
      </c>
      <c r="P356" s="30"/>
    </row>
    <row r="357" spans="1:16" x14ac:dyDescent="0.25">
      <c r="A357" s="57"/>
      <c r="B357" s="57"/>
      <c r="C357" s="36" t="s">
        <v>320</v>
      </c>
      <c r="D357" s="72">
        <f>IF(D348=param_bovins!$A$101,param_bovins!$F$78*D356,IF(D348=param_bovins!$A$102,param_bovins!$F$79*D356,IF(D348=param_bovins!$A$103,param_bovins!$F$80*D356,IF(D348=param_bovins!$A$104,param_bovins!$F$81*D356,0))))</f>
        <v>4.6110882956878854</v>
      </c>
      <c r="E357" s="72">
        <f>IF(E348=param_bovins!$A$101,param_bovins!$F$78*E356,IF(E348=param_bovins!$A$102,param_bovins!$F$79*E356,IF(E348=param_bovins!$A$103,param_bovins!$F$80*E356,IF(E348=param_bovins!$A$104,param_bovins!$F$81*E356,0))))</f>
        <v>4.6110882956878854</v>
      </c>
      <c r="F357" s="72">
        <f>IF(F348=param_bovins!$A$101,param_bovins!$F$78*F356,IF(F348=param_bovins!$A$102,param_bovins!$F$79*F356,IF(F348=param_bovins!$A$103,param_bovins!$F$80*F356,IF(F348=param_bovins!$A$104,param_bovins!$F$81*F356,0))))</f>
        <v>4.6110882956878854</v>
      </c>
      <c r="G357" s="72">
        <f>IF(G348=param_bovins!$A$101,param_bovins!$F$78*G356,IF(G348=param_bovins!$A$102,param_bovins!$F$79*G356,IF(G348=param_bovins!$A$103,param_bovins!$F$80*G356,IF(G348=param_bovins!$A$104,param_bovins!$F$81*G356,0))))</f>
        <v>4.6110882956878854</v>
      </c>
      <c r="H357" s="72">
        <f>IF(H348=param_bovins!$A$101,param_bovins!$F$78*H356,IF(H348=param_bovins!$A$102,param_bovins!$F$79*H356,IF(H348=param_bovins!$A$103,param_bovins!$F$80*H356,IF(H348=param_bovins!$A$104,param_bovins!$F$81*H356,0))))</f>
        <v>0</v>
      </c>
      <c r="I357" s="72">
        <f>IF(I348=param_bovins!$A$101,param_bovins!$F$78*I356,IF(I348=param_bovins!$A$102,param_bovins!$F$79*I356,IF(I348=param_bovins!$A$103,param_bovins!$F$80*I356,IF(I348=param_bovins!$A$104,param_bovins!$F$81*I356,0))))</f>
        <v>0</v>
      </c>
      <c r="J357" s="72">
        <f>IF(J348=param_bovins!$A$101,param_bovins!$F$78*J356,IF(J348=param_bovins!$A$102,param_bovins!$F$79*J356,IF(J348=param_bovins!$A$103,param_bovins!$F$80*J356,IF(J348=param_bovins!$A$104,param_bovins!$F$81*J356,0))))</f>
        <v>0</v>
      </c>
      <c r="K357" s="72">
        <f>IF(K348=param_bovins!$A$101,param_bovins!$F$78*K356,IF(K348=param_bovins!$A$102,param_bovins!$F$79*K356,IF(K348=param_bovins!$A$103,param_bovins!$F$80*K356,IF(K348=param_bovins!$A$104,param_bovins!$F$81*K356,0))))</f>
        <v>0</v>
      </c>
      <c r="L357" s="72">
        <f>IF(L348=param_bovins!$A$101,param_bovins!$F$78*L356,IF(L348=param_bovins!$A$102,param_bovins!$F$79*L356,IF(L348=param_bovins!$A$103,param_bovins!$F$80*L356,IF(L348=param_bovins!$A$104,param_bovins!$F$81*L356,0))))</f>
        <v>0</v>
      </c>
      <c r="M357" s="72">
        <f>IF(M348=param_bovins!$A$101,param_bovins!$F$78*M356,IF(M348=param_bovins!$A$102,param_bovins!$F$79*M356,IF(M348=param_bovins!$A$103,param_bovins!$F$80*M356,IF(M348=param_bovins!$A$104,param_bovins!$F$81*M356,0))))</f>
        <v>0</v>
      </c>
      <c r="N357" s="72">
        <f>IF(N348=param_bovins!$A$101,param_bovins!$F$78*N356,IF(N348=param_bovins!$A$102,param_bovins!$F$79*N356,IF(N348=param_bovins!$A$103,param_bovins!$F$80*N356,IF(N348=param_bovins!$A$104,param_bovins!$F$81*N356,0))))</f>
        <v>0</v>
      </c>
      <c r="O357" s="72">
        <f>IF(O348=param_bovins!$A$101,param_bovins!$F$78*O356,IF(O348=param_bovins!$A$102,param_bovins!$F$79*O356,IF(O348=param_bovins!$A$103,param_bovins!$F$80*O356,IF(O348=param_bovins!$A$104,param_bovins!$F$81*O356,0))))</f>
        <v>0</v>
      </c>
      <c r="P357" s="30"/>
    </row>
    <row r="358" spans="1:16" x14ac:dyDescent="0.25">
      <c r="A358" s="12"/>
      <c r="B358" s="12"/>
      <c r="C358" s="42"/>
      <c r="P358" s="30"/>
    </row>
    <row r="359" spans="1:16" x14ac:dyDescent="0.25">
      <c r="A359" t="s">
        <v>321</v>
      </c>
      <c r="B359" s="33"/>
      <c r="C359" t="s">
        <v>322</v>
      </c>
      <c r="D359">
        <f>'Feuille saisie commune'!$E$10</f>
        <v>18</v>
      </c>
      <c r="E359">
        <f>'Feuille saisie commune'!$E$10</f>
        <v>18</v>
      </c>
      <c r="F359">
        <f>'Feuille saisie commune'!$E$10</f>
        <v>18</v>
      </c>
      <c r="G359">
        <f>'Feuille saisie commune'!$E$10</f>
        <v>18</v>
      </c>
      <c r="H359">
        <f>'Feuille saisie commune'!$E$10</f>
        <v>18</v>
      </c>
      <c r="I359">
        <f>'Feuille saisie commune'!$E$10</f>
        <v>18</v>
      </c>
      <c r="J359">
        <f>'Feuille saisie commune'!$E$10</f>
        <v>18</v>
      </c>
      <c r="K359">
        <f>'Feuille saisie commune'!$E$10</f>
        <v>18</v>
      </c>
      <c r="L359">
        <f>'Feuille saisie commune'!$E$10</f>
        <v>18</v>
      </c>
      <c r="M359">
        <f>'Feuille saisie commune'!$E$10</f>
        <v>18</v>
      </c>
      <c r="N359">
        <f>'Feuille saisie commune'!$E$10</f>
        <v>18</v>
      </c>
      <c r="O359">
        <f>'Feuille saisie commune'!$E$10</f>
        <v>18</v>
      </c>
      <c r="P359" s="30"/>
    </row>
    <row r="360" spans="1:16" x14ac:dyDescent="0.25">
      <c r="A360" s="33" t="s">
        <v>204</v>
      </c>
      <c r="B360" t="s">
        <v>288</v>
      </c>
      <c r="C360" s="33" t="s">
        <v>205</v>
      </c>
      <c r="D360" s="28">
        <f>'Saisie 2_bovins'!G25/(365.25/12)</f>
        <v>1.0020533880903491</v>
      </c>
      <c r="E360" s="28">
        <f>'Saisie 2_bovins'!H25/(365.25/12)</f>
        <v>1.0020533880903491</v>
      </c>
      <c r="F360" s="28">
        <f>'Saisie 2_bovins'!I25/(365.25/12)</f>
        <v>1.0020533880903491</v>
      </c>
      <c r="G360" s="28">
        <f>'Saisie 2_bovins'!J25/(365.25/12)</f>
        <v>1.0020533880903491</v>
      </c>
      <c r="H360" s="28">
        <f>'Saisie 2_bovins'!K25/(365.25/12)</f>
        <v>0</v>
      </c>
      <c r="I360" s="28">
        <f>'Saisie 2_bovins'!L25/(365.25/12)</f>
        <v>0</v>
      </c>
      <c r="J360" s="28">
        <f>'Saisie 2_bovins'!M25/(365.25/12)</f>
        <v>0</v>
      </c>
      <c r="K360" s="28">
        <f>'Saisie 2_bovins'!N25/(365.25/12)</f>
        <v>0</v>
      </c>
      <c r="L360" s="28">
        <f>'Saisie 2_bovins'!O25/(365.25/12)</f>
        <v>0</v>
      </c>
      <c r="M360" s="28">
        <f>'Saisie 2_bovins'!P25/(365.25/12)</f>
        <v>0</v>
      </c>
      <c r="N360" s="28">
        <f>'Saisie 2_bovins'!Q25/(365.25/12)</f>
        <v>0</v>
      </c>
      <c r="O360" s="28">
        <f>'Saisie 2_bovins'!R25/(365.25/12)</f>
        <v>0</v>
      </c>
      <c r="P360" s="30"/>
    </row>
    <row r="361" spans="1:16" x14ac:dyDescent="0.25">
      <c r="A361" s="33" t="s">
        <v>207</v>
      </c>
      <c r="B361" t="s">
        <v>332</v>
      </c>
      <c r="C361" t="s">
        <v>213</v>
      </c>
      <c r="D361" s="60">
        <f>D350*D$359*D$360</f>
        <v>89.102587268993844</v>
      </c>
      <c r="E361" s="60">
        <f t="shared" ref="E361:O361" si="140">E350*E$359*E$360</f>
        <v>89.102587268993844</v>
      </c>
      <c r="F361" s="60">
        <f t="shared" si="140"/>
        <v>89.102587268993844</v>
      </c>
      <c r="G361" s="60">
        <f t="shared" si="140"/>
        <v>89.102587268993844</v>
      </c>
      <c r="H361" s="60">
        <f t="shared" si="140"/>
        <v>0</v>
      </c>
      <c r="I361" s="60">
        <f t="shared" si="140"/>
        <v>0</v>
      </c>
      <c r="J361" s="60">
        <f t="shared" si="140"/>
        <v>0</v>
      </c>
      <c r="K361" s="60">
        <f t="shared" si="140"/>
        <v>0</v>
      </c>
      <c r="L361" s="60">
        <f t="shared" si="140"/>
        <v>0</v>
      </c>
      <c r="M361" s="60">
        <f t="shared" si="140"/>
        <v>0</v>
      </c>
      <c r="N361" s="60">
        <f t="shared" si="140"/>
        <v>0</v>
      </c>
      <c r="O361" s="60">
        <f t="shared" si="140"/>
        <v>0</v>
      </c>
      <c r="P361" s="30"/>
    </row>
    <row r="362" spans="1:16" x14ac:dyDescent="0.25">
      <c r="A362" s="33" t="s">
        <v>209</v>
      </c>
      <c r="B362" t="s">
        <v>333</v>
      </c>
      <c r="C362" t="s">
        <v>214</v>
      </c>
      <c r="D362" s="60">
        <f>D351*D$359*D$360</f>
        <v>17.27940862422998</v>
      </c>
      <c r="E362" s="60">
        <f t="shared" ref="E362:O362" si="141">E351*E$359*E$360</f>
        <v>17.27940862422998</v>
      </c>
      <c r="F362" s="60">
        <f t="shared" si="141"/>
        <v>17.27940862422998</v>
      </c>
      <c r="G362" s="60">
        <f t="shared" si="141"/>
        <v>17.27940862422998</v>
      </c>
      <c r="H362" s="60">
        <f t="shared" si="141"/>
        <v>0</v>
      </c>
      <c r="I362" s="60">
        <f t="shared" si="141"/>
        <v>0</v>
      </c>
      <c r="J362" s="60">
        <f t="shared" si="141"/>
        <v>0</v>
      </c>
      <c r="K362" s="60">
        <f t="shared" si="141"/>
        <v>0</v>
      </c>
      <c r="L362" s="60">
        <f t="shared" si="141"/>
        <v>0</v>
      </c>
      <c r="M362" s="60">
        <f t="shared" si="141"/>
        <v>0</v>
      </c>
      <c r="N362" s="60">
        <f t="shared" si="141"/>
        <v>0</v>
      </c>
      <c r="O362" s="60">
        <f t="shared" si="141"/>
        <v>0</v>
      </c>
      <c r="P362" s="30"/>
    </row>
    <row r="363" spans="1:16" x14ac:dyDescent="0.25">
      <c r="A363" s="33" t="s">
        <v>208</v>
      </c>
      <c r="B363" t="s">
        <v>334</v>
      </c>
      <c r="C363" t="s">
        <v>215</v>
      </c>
      <c r="D363" s="60">
        <f>D352*D$359*D$360</f>
        <v>82.609281314168371</v>
      </c>
      <c r="E363" s="60">
        <f t="shared" ref="E363:O363" si="142">E352*E$359*E$360</f>
        <v>82.609281314168371</v>
      </c>
      <c r="F363" s="60">
        <f t="shared" si="142"/>
        <v>82.609281314168371</v>
      </c>
      <c r="G363" s="60">
        <f t="shared" si="142"/>
        <v>82.609281314168371</v>
      </c>
      <c r="H363" s="60">
        <f t="shared" si="142"/>
        <v>0</v>
      </c>
      <c r="I363" s="60">
        <f t="shared" si="142"/>
        <v>0</v>
      </c>
      <c r="J363" s="60">
        <f t="shared" si="142"/>
        <v>0</v>
      </c>
      <c r="K363" s="60">
        <f t="shared" si="142"/>
        <v>0</v>
      </c>
      <c r="L363" s="60">
        <f t="shared" si="142"/>
        <v>0</v>
      </c>
      <c r="M363" s="60">
        <f t="shared" si="142"/>
        <v>0</v>
      </c>
      <c r="N363" s="60">
        <f t="shared" si="142"/>
        <v>0</v>
      </c>
      <c r="O363" s="60">
        <f t="shared" si="142"/>
        <v>0</v>
      </c>
      <c r="P363" s="30"/>
    </row>
    <row r="364" spans="1:16" x14ac:dyDescent="0.25">
      <c r="P364" s="30"/>
    </row>
    <row r="365" spans="1:16" x14ac:dyDescent="0.25">
      <c r="A365" s="42" t="s">
        <v>265</v>
      </c>
      <c r="B365" s="42"/>
      <c r="C365" s="42" t="s">
        <v>335</v>
      </c>
      <c r="D365">
        <f>'Feuille saisie commune'!G10</f>
        <v>5</v>
      </c>
      <c r="P365" s="30"/>
    </row>
    <row r="366" spans="1:16" x14ac:dyDescent="0.25">
      <c r="A366" s="33" t="s">
        <v>262</v>
      </c>
      <c r="B366" t="s">
        <v>336</v>
      </c>
      <c r="C366" s="47" t="s">
        <v>263</v>
      </c>
      <c r="D366">
        <f>$D$365*D359*D360*(365.25/12)</f>
        <v>2745</v>
      </c>
      <c r="E366">
        <f t="shared" ref="E366:O366" si="143">$D$365*E359*E360*(365.25/12)</f>
        <v>2745</v>
      </c>
      <c r="F366">
        <f t="shared" si="143"/>
        <v>2745</v>
      </c>
      <c r="G366">
        <f t="shared" si="143"/>
        <v>2745</v>
      </c>
      <c r="H366">
        <f t="shared" si="143"/>
        <v>0</v>
      </c>
      <c r="I366">
        <f t="shared" si="143"/>
        <v>0</v>
      </c>
      <c r="J366">
        <f t="shared" si="143"/>
        <v>0</v>
      </c>
      <c r="K366">
        <f t="shared" si="143"/>
        <v>0</v>
      </c>
      <c r="L366">
        <f t="shared" si="143"/>
        <v>0</v>
      </c>
      <c r="M366">
        <f t="shared" si="143"/>
        <v>0</v>
      </c>
      <c r="N366">
        <f t="shared" si="143"/>
        <v>0</v>
      </c>
      <c r="O366">
        <f t="shared" si="143"/>
        <v>0</v>
      </c>
      <c r="P366" s="30"/>
    </row>
    <row r="367" spans="1:16" x14ac:dyDescent="0.25">
      <c r="A367" s="33" t="s">
        <v>267</v>
      </c>
      <c r="B367" t="s">
        <v>270</v>
      </c>
      <c r="C367" t="s">
        <v>246</v>
      </c>
      <c r="D367" s="60">
        <f>D366*param_bovins!$D$160*param_bovins!$A$160/1000</f>
        <v>13.527359999999998</v>
      </c>
      <c r="E367" s="60">
        <f>E366*param_bovins!$D$160*param_bovins!$A$160/1000</f>
        <v>13.527359999999998</v>
      </c>
      <c r="F367" s="60">
        <f>F366*param_bovins!$D$160*param_bovins!$A$160/1000</f>
        <v>13.527359999999998</v>
      </c>
      <c r="G367" s="60">
        <f>G366*param_bovins!$D$160*param_bovins!$A$160/1000</f>
        <v>13.527359999999998</v>
      </c>
      <c r="H367" s="60">
        <f>H366*param_bovins!$D$160*param_bovins!$A$160/1000</f>
        <v>0</v>
      </c>
      <c r="I367" s="60">
        <f>I366*param_bovins!$D$160*param_bovins!$A$160/1000</f>
        <v>0</v>
      </c>
      <c r="J367" s="60">
        <f>J366*param_bovins!$D$160*param_bovins!$A$160/1000</f>
        <v>0</v>
      </c>
      <c r="K367" s="60">
        <f>K366*param_bovins!$D$160*param_bovins!$A$160/1000</f>
        <v>0</v>
      </c>
      <c r="L367" s="60">
        <f>L366*param_bovins!$D$160*param_bovins!$A$160/1000</f>
        <v>0</v>
      </c>
      <c r="M367" s="60">
        <f>M366*param_bovins!$D$160*param_bovins!$A$160/1000</f>
        <v>0</v>
      </c>
      <c r="N367" s="60">
        <f>N366*param_bovins!$D$160*param_bovins!$A$160/1000</f>
        <v>0</v>
      </c>
      <c r="O367" s="60">
        <f>O366*param_bovins!$D$160*param_bovins!$A$160/1000</f>
        <v>0</v>
      </c>
      <c r="P367" s="30"/>
    </row>
    <row r="368" spans="1:16" x14ac:dyDescent="0.25">
      <c r="A368" s="33" t="s">
        <v>268</v>
      </c>
      <c r="B368" s="33"/>
      <c r="C368" t="s">
        <v>249</v>
      </c>
      <c r="D368">
        <f>D366*param_bovins!$D$160*param_bovins!$B$160/1000</f>
        <v>2.4156</v>
      </c>
      <c r="E368">
        <f>E366*param_bovins!$D$160*param_bovins!$B$160/1000</f>
        <v>2.4156</v>
      </c>
      <c r="F368">
        <f>F366*param_bovins!$D$160*param_bovins!$B$160/1000</f>
        <v>2.4156</v>
      </c>
      <c r="G368">
        <f>G366*param_bovins!$D$160*param_bovins!$B$160/1000</f>
        <v>2.4156</v>
      </c>
      <c r="H368">
        <f>H366*param_bovins!$D$160*param_bovins!$B$160/1000</f>
        <v>0</v>
      </c>
      <c r="I368">
        <f>I366*param_bovins!$D$160*param_bovins!$B$160/1000</f>
        <v>0</v>
      </c>
      <c r="J368">
        <f>J366*param_bovins!$D$160*param_bovins!$B$160/1000</f>
        <v>0</v>
      </c>
      <c r="K368">
        <f>K366*param_bovins!$D$160*param_bovins!$B$160/1000</f>
        <v>0</v>
      </c>
      <c r="L368">
        <f>L366*param_bovins!$D$160*param_bovins!$B$160/1000</f>
        <v>0</v>
      </c>
      <c r="M368">
        <f>M366*param_bovins!$D$160*param_bovins!$B$160/1000</f>
        <v>0</v>
      </c>
      <c r="N368">
        <f>N366*param_bovins!$D$160*param_bovins!$B$160/1000</f>
        <v>0</v>
      </c>
      <c r="O368">
        <f>O366*param_bovins!$D$160*param_bovins!$B$160/1000</f>
        <v>0</v>
      </c>
      <c r="P368" s="30"/>
    </row>
    <row r="369" spans="1:16" x14ac:dyDescent="0.25">
      <c r="A369" s="33" t="s">
        <v>269</v>
      </c>
      <c r="B369" s="33"/>
      <c r="C369" t="s">
        <v>271</v>
      </c>
      <c r="D369" s="60">
        <f>D366*param_bovins!$D$160*param_bovins!$C$160/1000</f>
        <v>20.753868960000002</v>
      </c>
      <c r="E369" s="60">
        <f>E366*param_bovins!$D$160*param_bovins!$C$160/1000</f>
        <v>20.753868960000002</v>
      </c>
      <c r="F369" s="60">
        <f>F366*param_bovins!$D$160*param_bovins!$C$160/1000</f>
        <v>20.753868960000002</v>
      </c>
      <c r="G369" s="60">
        <f>G366*param_bovins!$D$160*param_bovins!$C$160/1000</f>
        <v>20.753868960000002</v>
      </c>
      <c r="H369" s="60">
        <f>H366*param_bovins!$D$160*param_bovins!$C$160/1000</f>
        <v>0</v>
      </c>
      <c r="I369" s="60">
        <f>I366*param_bovins!$D$160*param_bovins!$C$160/1000</f>
        <v>0</v>
      </c>
      <c r="J369" s="60">
        <f>J366*param_bovins!$D$160*param_bovins!$C$160/1000</f>
        <v>0</v>
      </c>
      <c r="K369" s="60">
        <f>K366*param_bovins!$D$160*param_bovins!$C$160/1000</f>
        <v>0</v>
      </c>
      <c r="L369" s="60">
        <f>L366*param_bovins!$D$160*param_bovins!$C$160/1000</f>
        <v>0</v>
      </c>
      <c r="M369" s="60">
        <f>M366*param_bovins!$D$160*param_bovins!$C$160/1000</f>
        <v>0</v>
      </c>
      <c r="N369" s="60">
        <f>N366*param_bovins!$D$160*param_bovins!$C$160/1000</f>
        <v>0</v>
      </c>
      <c r="O369" s="60">
        <f>O366*param_bovins!$D$160*param_bovins!$C$160/1000</f>
        <v>0</v>
      </c>
      <c r="P369" s="30"/>
    </row>
    <row r="370" spans="1:16" x14ac:dyDescent="0.25">
      <c r="A370" s="33"/>
      <c r="B370" s="33"/>
      <c r="P370" s="30"/>
    </row>
    <row r="371" spans="1:16" x14ac:dyDescent="0.25">
      <c r="A371" s="42" t="s">
        <v>5</v>
      </c>
      <c r="B371" s="9"/>
      <c r="C371" s="9"/>
      <c r="D371" t="str">
        <f>'Feuille saisie commune'!F10</f>
        <v>Litière accumulée intégrale</v>
      </c>
      <c r="P371" s="30"/>
    </row>
    <row r="372" spans="1:16" x14ac:dyDescent="0.25">
      <c r="A372" s="9"/>
      <c r="B372" s="9"/>
      <c r="C372" s="9"/>
      <c r="P372" s="30"/>
    </row>
    <row r="373" spans="1:16" x14ac:dyDescent="0.25">
      <c r="A373" t="s">
        <v>242</v>
      </c>
      <c r="C373" t="s">
        <v>205</v>
      </c>
      <c r="D373">
        <f>IF(D371="Logette, lisier",param_bovins!B107,IF(D371="Etable entravée, lisier",param_bovins!B108,IF(D371="Litière accumulée, couloir lisier",param_bovins!B109,IF(D371="Logette, mixte lisier/fumier",param_bovins!B110,IF(D371="Etable entravée, fumier",param_bovins!B111,IF(D371="Pente paillée",param_bovins!B112,IF(D371="Logette, fumier",param_bovins!B113,IF(D371=param_bovins!A114,param_bovins!B114,IF(D371=param_bovins!A115,param_bovins!B115,#N/A)))))))))</f>
        <v>0</v>
      </c>
      <c r="P373" s="30"/>
    </row>
    <row r="374" spans="1:16" x14ac:dyDescent="0.25">
      <c r="A374" t="s">
        <v>243</v>
      </c>
      <c r="C374" t="s">
        <v>205</v>
      </c>
      <c r="D374">
        <f>IF(D371="Logette, lisier",param_bovins!C107,IF(D371="Etable entravée, lisier",param_bovins!C108,IF(D371="Litière accumulée, couloir lisier",param_bovins!C109,IF(D371="Logette, mixte lisier/fumier",param_bovins!C110,IF(D371="Etable entravée, fumier",param_bovins!C111,IF(D371="Pente paillée",param_bovins!C112,IF(D371="Logette, fumier",param_bovins!C113,IF(D371=param_bovins!A114,param_bovins!C114,IF(D371=param_bovins!A115,param_bovins!C115,#N/A)))))))))</f>
        <v>1</v>
      </c>
      <c r="P374" s="30"/>
    </row>
    <row r="375" spans="1:16" x14ac:dyDescent="0.25">
      <c r="A375" t="s">
        <v>244</v>
      </c>
      <c r="B375" s="33"/>
      <c r="C375" t="s">
        <v>205</v>
      </c>
      <c r="D375">
        <f>IF(D371="Logette, mixte lisier/fumier",param_bovins!D66,IF(D371="Etable entravée, fumier",param_bovins!D67,IF(D371="Pente paillée",param_bovins!D68,IF(D371="Logette, fumier",param_bovins!D69,IF(D371=param_bovins!A70,param_bovins!D70,0)))))</f>
        <v>0</v>
      </c>
      <c r="P375" s="30"/>
    </row>
    <row r="376" spans="1:16" x14ac:dyDescent="0.25">
      <c r="A376" s="9" t="s">
        <v>294</v>
      </c>
      <c r="B376" s="9"/>
      <c r="C376" s="9" t="s">
        <v>50</v>
      </c>
      <c r="D376">
        <f>IF(D371=param_bovins!A109,param_bovins!F109,IF(D371=param_bovins!A110,param_bovins!F110,IF(D371=param_bovins!A111,param_bovins!F111,IF(D371=param_bovins!A112,param_bovins!F112,IF(D371=param_bovins!A113,param_bovins!F113,IF(D371=param_bovins!A114,param_bovins!F114,IF(D371=param_bovins!A115,param_bovins!F115,0)))))))</f>
        <v>0.6</v>
      </c>
      <c r="P376" s="30"/>
    </row>
    <row r="377" spans="1:16" x14ac:dyDescent="0.25">
      <c r="A377" t="s">
        <v>152</v>
      </c>
      <c r="B377" s="33"/>
      <c r="C377" t="s">
        <v>732</v>
      </c>
      <c r="D377" s="33">
        <f>IF(D371="Logette, lisier",param_bovins!G107,IF(D371="Etable entravée, lisier",param_bovins!G108,IF(D371="Litière accumulée, couloir lisier",param_bovins!G109,IF(D371="Logette, mixte lisier/fumier",param_bovins!G110,IF(D371="Etable entravée, fumier",param_bovins!G111,IF(D371="Pente paillée",param_bovins!G112,IF(D371="Logette, fumier",param_bovins!G113,IF(D371=param_bovins!A114,param_bovins!G114,IF(D371=param_bovins!A115,param_bovins!G115,#N/A)))))))))</f>
        <v>13.5</v>
      </c>
      <c r="P377" s="30"/>
    </row>
    <row r="378" spans="1:16" x14ac:dyDescent="0.25">
      <c r="A378" s="33" t="s">
        <v>734</v>
      </c>
      <c r="B378" s="33"/>
      <c r="C378" t="s">
        <v>205</v>
      </c>
      <c r="D378" s="33">
        <f>IF(D371="Logette, mixte lisier/fumier",IF('Saisie 2_bovins'!C44="couverte", param_bovins!H66, param_bovins!I66), IF(D371="Etable entravée, fumier",IF('Saisie 2_bovins'!C44="couverte",param_bovins!H67,param_bovins!I67),IF(D371="Pente paillée",IF('Saisie 2_bovins'!C44="couverte",param_bovins!H68,param_bovins!I68),IF(D371="Logette, fumier",IF('Saisie 2_bovins'!C44="couverte",param_bovins!H69, param_bovins!I69),IF(D371=param_bovins!A70,IF('Saisie 2_bovins'!C44="couverte",param_bovins!H70,param_bovins!I70),IF(D371=param_bovins!A71,IF('Saisie 2_bovins'!C44="couverte",param_bovins!H71,param_bovins!I71),IF(D371=param_bovins!A65,IF('Saisie 2_bovins'!C44="couverte",param_bovins!H65,param_bovins!I65),0)))))))</f>
        <v>0.01</v>
      </c>
      <c r="P378" s="30"/>
    </row>
    <row r="379" spans="1:16" x14ac:dyDescent="0.25">
      <c r="A379" s="33" t="s">
        <v>735</v>
      </c>
      <c r="B379" s="33"/>
      <c r="C379" t="s">
        <v>205</v>
      </c>
      <c r="D379" s="33">
        <f>IF(D371="Logette, mixte lisier/fumier",IF('Saisie 2_bovins'!C44="couverte", param_bovins!J66, param_bovins!K66), IF(D371="Etable entravée, fumier",IF('Saisie 2_bovins'!C44="couverte",param_bovins!J67,param_bovins!K67),IF(D371="Pente paillée",IF('Saisie 2_bovins'!C44="couverte",param_bovins!J68,param_bovins!K68),IF(D371="Logette, fumier",IF('Saisie 2_bovins'!C44="couverte",param_bovins!J69, param_bovins!K69),IF(D371=param_bovins!A70,IF('Saisie 2_bovins'!C44="couverte",param_bovins!J70,param_bovins!K70),IF(D371=param_bovins!A71,IF('Saisie 2_bovins'!C44="couverte",param_bovins!J71,param_bovins!K71),IF(D371=param_bovins!A65,IF('Saisie 2_bovins'!C44="couverte",param_bovins!J65,param_bovins!K65),0)))))))</f>
        <v>9.0000000000000011E-3</v>
      </c>
      <c r="P379" s="30"/>
    </row>
    <row r="380" spans="1:16" x14ac:dyDescent="0.25">
      <c r="A380" s="33" t="s">
        <v>736</v>
      </c>
      <c r="B380" s="33"/>
      <c r="C380" t="s">
        <v>205</v>
      </c>
      <c r="D380" s="33">
        <f>IF(D371="Logette, mixte lisier/fumier",IF('Saisie 2_bovins'!C44="couverte", param_bovins!L66, param_bovins!M66), IF(D371="Etable entravée, fumier",IF('Saisie 2_bovins'!C44="couverte",param_bovins!L67,param_bovins!M67),IF(D371="Pente paillée",IF('Saisie 2_bovins'!C44="couverte",param_bovins!L68,param_bovins!M68),IF(D371="Logette, fumier",IF('Saisie 2_bovins'!C44="couverte",param_bovins!L69, param_bovins!M69),IF(D371=param_bovins!A70,IF('Saisie 2_bovins'!C44="couverte",param_bovins!L70,param_bovins!M70),IF(D371=param_bovins!A71,IF('Saisie 2_bovins'!C44="couverte",param_bovins!L71,param_bovins!M71),IF(D371=param_bovins!A65,IF('Saisie 2_bovins'!C44="couverte",param_bovins!L65,param_bovins!M65),0)))))))</f>
        <v>1.0999999999999999E-2</v>
      </c>
      <c r="P380" s="30"/>
    </row>
    <row r="381" spans="1:16" x14ac:dyDescent="0.25">
      <c r="A381" t="s">
        <v>782</v>
      </c>
      <c r="B381" s="33"/>
      <c r="C381" t="s">
        <v>783</v>
      </c>
      <c r="D381" s="33">
        <f>IF(D371=param_bovins!A109,param_bovins!N109,IF(D371=param_bovins!A110,param_bovins!N110,IF(D371=param_bovins!A111,param_bovins!N111,IF(D371=param_bovins!A112,param_bovins!N112,IF(D371=param_bovins!A113,param_bovins!N113,IF(D371=param_bovins!A114,param_bovins!N114,IF(D371=param_bovins!A115,param_bovins!N115,0)))))))</f>
        <v>22.1</v>
      </c>
      <c r="P381" s="30"/>
    </row>
    <row r="382" spans="1:16" x14ac:dyDescent="0.25">
      <c r="B382" s="33"/>
      <c r="C382" s="33"/>
      <c r="P382" s="30"/>
    </row>
    <row r="383" spans="1:16" x14ac:dyDescent="0.25">
      <c r="A383" t="s">
        <v>220</v>
      </c>
      <c r="B383" s="33" t="s">
        <v>227</v>
      </c>
      <c r="C383" t="s">
        <v>337</v>
      </c>
      <c r="D383" s="60">
        <f>D373*param_bovins!D9</f>
        <v>0</v>
      </c>
      <c r="P383" s="30"/>
    </row>
    <row r="384" spans="1:16" x14ac:dyDescent="0.25">
      <c r="A384" t="s">
        <v>221</v>
      </c>
      <c r="B384" t="s">
        <v>226</v>
      </c>
      <c r="C384" t="s">
        <v>337</v>
      </c>
      <c r="D384" s="60">
        <f>IF(D376=0,0,D374*param_bovins!B9*D377/D376)</f>
        <v>15.75</v>
      </c>
      <c r="G384" s="61">
        <f>D384*D376</f>
        <v>9.4499999999999993</v>
      </c>
      <c r="H384" s="9" t="s">
        <v>303</v>
      </c>
      <c r="P384" s="30"/>
    </row>
    <row r="385" spans="1:16" x14ac:dyDescent="0.25">
      <c r="A385" t="s">
        <v>222</v>
      </c>
      <c r="B385" t="s">
        <v>228</v>
      </c>
      <c r="C385" t="s">
        <v>337</v>
      </c>
      <c r="D385" s="60">
        <f>D384*D375</f>
        <v>0</v>
      </c>
      <c r="P385" s="30"/>
    </row>
    <row r="386" spans="1:16" x14ac:dyDescent="0.25">
      <c r="P386" s="30"/>
    </row>
    <row r="387" spans="1:16" x14ac:dyDescent="0.25">
      <c r="A387" t="s">
        <v>338</v>
      </c>
      <c r="B387" t="s">
        <v>339</v>
      </c>
      <c r="C387" t="s">
        <v>205</v>
      </c>
      <c r="D387">
        <f>param_bovins!$B$122</f>
        <v>1.2</v>
      </c>
      <c r="E387">
        <f>param_bovins!$B$122</f>
        <v>1.2</v>
      </c>
      <c r="F387">
        <f>param_bovins!$B$122</f>
        <v>1.2</v>
      </c>
      <c r="G387">
        <f>param_bovins!$B$122</f>
        <v>1.2</v>
      </c>
      <c r="H387">
        <f>param_bovins!$B$122</f>
        <v>1.2</v>
      </c>
      <c r="I387">
        <f>param_bovins!$B$122</f>
        <v>1.2</v>
      </c>
      <c r="J387">
        <f>param_bovins!$B$122</f>
        <v>1.2</v>
      </c>
      <c r="K387">
        <f>param_bovins!$B$122</f>
        <v>1.2</v>
      </c>
      <c r="L387">
        <f>param_bovins!$B$122</f>
        <v>1.2</v>
      </c>
      <c r="M387">
        <f>param_bovins!$B$122</f>
        <v>1.2</v>
      </c>
      <c r="N387">
        <f>param_bovins!$B$122</f>
        <v>1.2</v>
      </c>
      <c r="O387">
        <f>param_bovins!$B$122</f>
        <v>1.2</v>
      </c>
      <c r="P387" s="30"/>
    </row>
    <row r="388" spans="1:16" x14ac:dyDescent="0.25">
      <c r="P388" s="30"/>
    </row>
    <row r="389" spans="1:16" x14ac:dyDescent="0.25">
      <c r="A389" s="33" t="s">
        <v>210</v>
      </c>
      <c r="B389" s="33" t="s">
        <v>340</v>
      </c>
      <c r="C389" t="s">
        <v>341</v>
      </c>
      <c r="D389" s="60">
        <f>$D$383*D387/12</f>
        <v>0</v>
      </c>
      <c r="E389" s="60">
        <f t="shared" ref="E389:O389" si="144">$D$383*E387/12</f>
        <v>0</v>
      </c>
      <c r="F389" s="60">
        <f t="shared" si="144"/>
        <v>0</v>
      </c>
      <c r="G389" s="60">
        <f t="shared" si="144"/>
        <v>0</v>
      </c>
      <c r="H389" s="60">
        <f t="shared" si="144"/>
        <v>0</v>
      </c>
      <c r="I389" s="60">
        <f t="shared" si="144"/>
        <v>0</v>
      </c>
      <c r="J389" s="60">
        <f t="shared" si="144"/>
        <v>0</v>
      </c>
      <c r="K389" s="60">
        <f t="shared" si="144"/>
        <v>0</v>
      </c>
      <c r="L389" s="60">
        <f t="shared" si="144"/>
        <v>0</v>
      </c>
      <c r="M389" s="60">
        <f t="shared" si="144"/>
        <v>0</v>
      </c>
      <c r="N389" s="60">
        <f t="shared" si="144"/>
        <v>0</v>
      </c>
      <c r="O389" s="60">
        <f t="shared" si="144"/>
        <v>0</v>
      </c>
      <c r="P389" s="30"/>
    </row>
    <row r="390" spans="1:16" x14ac:dyDescent="0.25">
      <c r="A390" s="33" t="s">
        <v>211</v>
      </c>
      <c r="B390" s="33" t="s">
        <v>340</v>
      </c>
      <c r="C390" t="s">
        <v>341</v>
      </c>
      <c r="D390" s="60">
        <f>$D$384*D387/12</f>
        <v>1.575</v>
      </c>
      <c r="E390" s="60">
        <f t="shared" ref="E390:O390" si="145">$D$384*E387/12</f>
        <v>1.575</v>
      </c>
      <c r="F390" s="60">
        <f t="shared" si="145"/>
        <v>1.575</v>
      </c>
      <c r="G390" s="60">
        <f t="shared" si="145"/>
        <v>1.575</v>
      </c>
      <c r="H390" s="60">
        <f t="shared" si="145"/>
        <v>1.575</v>
      </c>
      <c r="I390" s="60">
        <f t="shared" si="145"/>
        <v>1.575</v>
      </c>
      <c r="J390" s="60">
        <f t="shared" si="145"/>
        <v>1.575</v>
      </c>
      <c r="K390" s="60">
        <f t="shared" si="145"/>
        <v>1.575</v>
      </c>
      <c r="L390" s="60">
        <f t="shared" si="145"/>
        <v>1.575</v>
      </c>
      <c r="M390" s="60">
        <f t="shared" si="145"/>
        <v>1.575</v>
      </c>
      <c r="N390" s="60">
        <f t="shared" si="145"/>
        <v>1.575</v>
      </c>
      <c r="O390" s="60">
        <f t="shared" si="145"/>
        <v>1.575</v>
      </c>
      <c r="P390" s="30"/>
    </row>
    <row r="391" spans="1:16" x14ac:dyDescent="0.25">
      <c r="A391" s="33" t="s">
        <v>212</v>
      </c>
      <c r="B391" t="s">
        <v>360</v>
      </c>
      <c r="C391" t="s">
        <v>341</v>
      </c>
      <c r="D391" s="60">
        <f>$D$385*D387/12</f>
        <v>0</v>
      </c>
      <c r="E391" s="60">
        <f t="shared" ref="E391:O391" si="146">$D$385*E387/12</f>
        <v>0</v>
      </c>
      <c r="F391" s="60">
        <f t="shared" si="146"/>
        <v>0</v>
      </c>
      <c r="G391" s="60">
        <f t="shared" si="146"/>
        <v>0</v>
      </c>
      <c r="H391" s="60">
        <f t="shared" si="146"/>
        <v>0</v>
      </c>
      <c r="I391" s="60">
        <f t="shared" si="146"/>
        <v>0</v>
      </c>
      <c r="J391" s="60">
        <f t="shared" si="146"/>
        <v>0</v>
      </c>
      <c r="K391" s="60">
        <f t="shared" si="146"/>
        <v>0</v>
      </c>
      <c r="L391" s="60">
        <f t="shared" si="146"/>
        <v>0</v>
      </c>
      <c r="M391" s="60">
        <f t="shared" si="146"/>
        <v>0</v>
      </c>
      <c r="N391" s="60">
        <f t="shared" si="146"/>
        <v>0</v>
      </c>
      <c r="O391" s="60">
        <f t="shared" si="146"/>
        <v>0</v>
      </c>
      <c r="P391" s="30"/>
    </row>
    <row r="392" spans="1:16" x14ac:dyDescent="0.25">
      <c r="A392" s="9" t="s">
        <v>152</v>
      </c>
      <c r="B392" s="9"/>
      <c r="C392" s="9" t="s">
        <v>342</v>
      </c>
      <c r="D392" s="60">
        <f>D390*$D$376</f>
        <v>0.94499999999999995</v>
      </c>
      <c r="E392" s="60">
        <f t="shared" ref="E392:O392" si="147">E390*$D$376</f>
        <v>0.94499999999999995</v>
      </c>
      <c r="F392" s="60">
        <f t="shared" si="147"/>
        <v>0.94499999999999995</v>
      </c>
      <c r="G392" s="60">
        <f t="shared" si="147"/>
        <v>0.94499999999999995</v>
      </c>
      <c r="H392" s="60">
        <f t="shared" si="147"/>
        <v>0.94499999999999995</v>
      </c>
      <c r="I392" s="60">
        <f t="shared" si="147"/>
        <v>0.94499999999999995</v>
      </c>
      <c r="J392" s="60">
        <f t="shared" si="147"/>
        <v>0.94499999999999995</v>
      </c>
      <c r="K392" s="60">
        <f t="shared" si="147"/>
        <v>0.94499999999999995</v>
      </c>
      <c r="L392" s="60">
        <f t="shared" si="147"/>
        <v>0.94499999999999995</v>
      </c>
      <c r="M392" s="60">
        <f t="shared" si="147"/>
        <v>0.94499999999999995</v>
      </c>
      <c r="N392" s="60">
        <f t="shared" si="147"/>
        <v>0.94499999999999995</v>
      </c>
      <c r="O392" s="60">
        <f t="shared" si="147"/>
        <v>0.94499999999999995</v>
      </c>
      <c r="P392" s="30"/>
    </row>
    <row r="393" spans="1:16" x14ac:dyDescent="0.25">
      <c r="A393" s="33"/>
      <c r="B393" s="33"/>
      <c r="C393" s="33"/>
      <c r="P393" s="30"/>
    </row>
    <row r="394" spans="1:16" x14ac:dyDescent="0.25">
      <c r="A394" t="s">
        <v>210</v>
      </c>
      <c r="B394" t="s">
        <v>343</v>
      </c>
      <c r="C394" t="s">
        <v>229</v>
      </c>
      <c r="D394" s="60">
        <f>D389*D$359*D$360</f>
        <v>0</v>
      </c>
      <c r="E394" s="60">
        <f t="shared" ref="E394:O394" si="148">E389*E$359*E$360</f>
        <v>0</v>
      </c>
      <c r="F394" s="60">
        <f t="shared" si="148"/>
        <v>0</v>
      </c>
      <c r="G394" s="60">
        <f t="shared" si="148"/>
        <v>0</v>
      </c>
      <c r="H394" s="60">
        <f t="shared" si="148"/>
        <v>0</v>
      </c>
      <c r="I394" s="60">
        <f t="shared" si="148"/>
        <v>0</v>
      </c>
      <c r="J394" s="60">
        <f t="shared" si="148"/>
        <v>0</v>
      </c>
      <c r="K394" s="60">
        <f t="shared" si="148"/>
        <v>0</v>
      </c>
      <c r="L394" s="60">
        <f t="shared" si="148"/>
        <v>0</v>
      </c>
      <c r="M394" s="60">
        <f t="shared" si="148"/>
        <v>0</v>
      </c>
      <c r="N394" s="60">
        <f t="shared" si="148"/>
        <v>0</v>
      </c>
      <c r="O394" s="60">
        <f t="shared" si="148"/>
        <v>0</v>
      </c>
      <c r="P394" s="30"/>
    </row>
    <row r="395" spans="1:16" x14ac:dyDescent="0.25">
      <c r="A395" t="s">
        <v>211</v>
      </c>
      <c r="B395" t="s">
        <v>343</v>
      </c>
      <c r="C395" t="s">
        <v>229</v>
      </c>
      <c r="D395" s="60">
        <f>D390*D$359*D$360</f>
        <v>28.408213552361392</v>
      </c>
      <c r="E395" s="60">
        <f t="shared" ref="D395:O396" si="149">E390*E$359*E$360</f>
        <v>28.408213552361392</v>
      </c>
      <c r="F395" s="60">
        <f t="shared" si="149"/>
        <v>28.408213552361392</v>
      </c>
      <c r="G395" s="60">
        <f t="shared" si="149"/>
        <v>28.408213552361392</v>
      </c>
      <c r="H395" s="60">
        <f t="shared" si="149"/>
        <v>0</v>
      </c>
      <c r="I395" s="60">
        <f t="shared" si="149"/>
        <v>0</v>
      </c>
      <c r="J395" s="60">
        <f t="shared" si="149"/>
        <v>0</v>
      </c>
      <c r="K395" s="60">
        <f t="shared" si="149"/>
        <v>0</v>
      </c>
      <c r="L395" s="60">
        <f t="shared" si="149"/>
        <v>0</v>
      </c>
      <c r="M395" s="60">
        <f t="shared" si="149"/>
        <v>0</v>
      </c>
      <c r="N395" s="60">
        <f t="shared" si="149"/>
        <v>0</v>
      </c>
      <c r="O395" s="60">
        <f t="shared" si="149"/>
        <v>0</v>
      </c>
      <c r="P395" s="30"/>
    </row>
    <row r="396" spans="1:16" x14ac:dyDescent="0.25">
      <c r="A396" t="s">
        <v>212</v>
      </c>
      <c r="B396" t="s">
        <v>343</v>
      </c>
      <c r="C396" t="s">
        <v>229</v>
      </c>
      <c r="D396" s="60">
        <f t="shared" si="149"/>
        <v>0</v>
      </c>
      <c r="E396" s="60">
        <f t="shared" si="149"/>
        <v>0</v>
      </c>
      <c r="F396" s="60">
        <f t="shared" si="149"/>
        <v>0</v>
      </c>
      <c r="G396" s="60">
        <f t="shared" si="149"/>
        <v>0</v>
      </c>
      <c r="H396" s="60">
        <f t="shared" si="149"/>
        <v>0</v>
      </c>
      <c r="I396" s="60">
        <f t="shared" si="149"/>
        <v>0</v>
      </c>
      <c r="J396" s="60">
        <f t="shared" si="149"/>
        <v>0</v>
      </c>
      <c r="K396" s="60">
        <f t="shared" si="149"/>
        <v>0</v>
      </c>
      <c r="L396" s="60">
        <f t="shared" si="149"/>
        <v>0</v>
      </c>
      <c r="M396" s="60">
        <f t="shared" si="149"/>
        <v>0</v>
      </c>
      <c r="N396" s="60">
        <f t="shared" si="149"/>
        <v>0</v>
      </c>
      <c r="O396" s="60">
        <f t="shared" si="149"/>
        <v>0</v>
      </c>
      <c r="P396" s="30"/>
    </row>
    <row r="397" spans="1:16" x14ac:dyDescent="0.25">
      <c r="P397" s="30"/>
    </row>
    <row r="398" spans="1:16" x14ac:dyDescent="0.25">
      <c r="A398" s="44" t="s">
        <v>237</v>
      </c>
      <c r="B398" s="44" t="s">
        <v>344</v>
      </c>
      <c r="C398" s="44" t="s">
        <v>239</v>
      </c>
      <c r="D398" s="63">
        <f>D392*D360*D359</f>
        <v>17.044928131416835</v>
      </c>
      <c r="E398" s="63">
        <f t="shared" ref="E398:O398" si="150">E392*E360*E359</f>
        <v>17.044928131416835</v>
      </c>
      <c r="F398" s="63">
        <f t="shared" si="150"/>
        <v>17.044928131416835</v>
      </c>
      <c r="G398" s="63">
        <f t="shared" si="150"/>
        <v>17.044928131416835</v>
      </c>
      <c r="H398" s="63">
        <f t="shared" si="150"/>
        <v>0</v>
      </c>
      <c r="I398" s="63">
        <f t="shared" si="150"/>
        <v>0</v>
      </c>
      <c r="J398" s="63">
        <f t="shared" si="150"/>
        <v>0</v>
      </c>
      <c r="K398" s="63">
        <f t="shared" si="150"/>
        <v>0</v>
      </c>
      <c r="L398" s="63">
        <f t="shared" si="150"/>
        <v>0</v>
      </c>
      <c r="M398" s="63">
        <f t="shared" si="150"/>
        <v>0</v>
      </c>
      <c r="N398" s="63">
        <f t="shared" si="150"/>
        <v>0</v>
      </c>
      <c r="O398" s="63">
        <f t="shared" si="150"/>
        <v>0</v>
      </c>
      <c r="P398" s="30"/>
    </row>
    <row r="399" spans="1:16" x14ac:dyDescent="0.25">
      <c r="A399" s="44" t="s">
        <v>245</v>
      </c>
      <c r="B399" s="44"/>
      <c r="C399" s="44" t="s">
        <v>229</v>
      </c>
      <c r="D399" s="63">
        <f>D396+D394</f>
        <v>0</v>
      </c>
      <c r="E399" s="63">
        <f t="shared" ref="E399:O399" si="151">E396+E394</f>
        <v>0</v>
      </c>
      <c r="F399" s="63">
        <f t="shared" si="151"/>
        <v>0</v>
      </c>
      <c r="G399" s="63">
        <f t="shared" si="151"/>
        <v>0</v>
      </c>
      <c r="H399" s="63">
        <f t="shared" si="151"/>
        <v>0</v>
      </c>
      <c r="I399" s="63">
        <f t="shared" si="151"/>
        <v>0</v>
      </c>
      <c r="J399" s="63">
        <f t="shared" si="151"/>
        <v>0</v>
      </c>
      <c r="K399" s="63">
        <f t="shared" si="151"/>
        <v>0</v>
      </c>
      <c r="L399" s="63">
        <f t="shared" si="151"/>
        <v>0</v>
      </c>
      <c r="M399" s="63">
        <f t="shared" si="151"/>
        <v>0</v>
      </c>
      <c r="N399" s="63">
        <f t="shared" si="151"/>
        <v>0</v>
      </c>
      <c r="O399" s="63">
        <f t="shared" si="151"/>
        <v>0</v>
      </c>
      <c r="P399" s="30"/>
    </row>
    <row r="400" spans="1:16" x14ac:dyDescent="0.25">
      <c r="A400" s="44"/>
      <c r="B400" s="44"/>
      <c r="C400" s="44"/>
      <c r="P400" s="30"/>
    </row>
    <row r="401" spans="1:16" x14ac:dyDescent="0.25">
      <c r="A401" s="9" t="s">
        <v>241</v>
      </c>
      <c r="B401" s="9" t="s">
        <v>240</v>
      </c>
      <c r="C401" s="9" t="s">
        <v>246</v>
      </c>
      <c r="D401" s="60">
        <f>(D361+D367)*$D$373</f>
        <v>0</v>
      </c>
      <c r="E401" s="60">
        <f t="shared" ref="E401:O401" si="152">(E361+E367)*$D$373</f>
        <v>0</v>
      </c>
      <c r="F401" s="60">
        <f t="shared" si="152"/>
        <v>0</v>
      </c>
      <c r="G401" s="60">
        <f t="shared" si="152"/>
        <v>0</v>
      </c>
      <c r="H401" s="60">
        <f t="shared" si="152"/>
        <v>0</v>
      </c>
      <c r="I401" s="60">
        <f t="shared" si="152"/>
        <v>0</v>
      </c>
      <c r="J401" s="60">
        <f t="shared" si="152"/>
        <v>0</v>
      </c>
      <c r="K401" s="60">
        <f t="shared" si="152"/>
        <v>0</v>
      </c>
      <c r="L401" s="60">
        <f t="shared" si="152"/>
        <v>0</v>
      </c>
      <c r="M401" s="60">
        <f t="shared" si="152"/>
        <v>0</v>
      </c>
      <c r="N401" s="60">
        <f t="shared" si="152"/>
        <v>0</v>
      </c>
      <c r="O401" s="60">
        <f t="shared" si="152"/>
        <v>0</v>
      </c>
      <c r="P401" s="30"/>
    </row>
    <row r="402" spans="1:16" x14ac:dyDescent="0.25">
      <c r="A402" s="9" t="s">
        <v>247</v>
      </c>
      <c r="B402" s="9" t="s">
        <v>248</v>
      </c>
      <c r="C402" s="9" t="s">
        <v>249</v>
      </c>
      <c r="D402" s="60">
        <f>(D362+D368)*$D$373</f>
        <v>0</v>
      </c>
      <c r="E402" s="60">
        <f t="shared" ref="E402:O402" si="153">(E362+E368)*$D$373</f>
        <v>0</v>
      </c>
      <c r="F402" s="60">
        <f t="shared" si="153"/>
        <v>0</v>
      </c>
      <c r="G402" s="60">
        <f t="shared" si="153"/>
        <v>0</v>
      </c>
      <c r="H402" s="60">
        <f t="shared" si="153"/>
        <v>0</v>
      </c>
      <c r="I402" s="60">
        <f t="shared" si="153"/>
        <v>0</v>
      </c>
      <c r="J402" s="60">
        <f t="shared" si="153"/>
        <v>0</v>
      </c>
      <c r="K402" s="60">
        <f t="shared" si="153"/>
        <v>0</v>
      </c>
      <c r="L402" s="60">
        <f t="shared" si="153"/>
        <v>0</v>
      </c>
      <c r="M402" s="60">
        <f t="shared" si="153"/>
        <v>0</v>
      </c>
      <c r="N402" s="60">
        <f t="shared" si="153"/>
        <v>0</v>
      </c>
      <c r="O402" s="60">
        <f t="shared" si="153"/>
        <v>0</v>
      </c>
      <c r="P402" s="30"/>
    </row>
    <row r="403" spans="1:16" x14ac:dyDescent="0.25">
      <c r="A403" s="9" t="s">
        <v>250</v>
      </c>
      <c r="B403" s="9" t="s">
        <v>251</v>
      </c>
      <c r="C403" s="9" t="s">
        <v>252</v>
      </c>
      <c r="D403" s="60">
        <f>(D363+D369)*$D$373</f>
        <v>0</v>
      </c>
      <c r="E403" s="60">
        <f t="shared" ref="E403:O403" si="154">(E363+E369)*$D$373</f>
        <v>0</v>
      </c>
      <c r="F403" s="60">
        <f t="shared" si="154"/>
        <v>0</v>
      </c>
      <c r="G403" s="60">
        <f t="shared" si="154"/>
        <v>0</v>
      </c>
      <c r="H403" s="60">
        <f t="shared" si="154"/>
        <v>0</v>
      </c>
      <c r="I403" s="60">
        <f t="shared" si="154"/>
        <v>0</v>
      </c>
      <c r="J403" s="60">
        <f t="shared" si="154"/>
        <v>0</v>
      </c>
      <c r="K403" s="60">
        <f t="shared" si="154"/>
        <v>0</v>
      </c>
      <c r="L403" s="60">
        <f t="shared" si="154"/>
        <v>0</v>
      </c>
      <c r="M403" s="60">
        <f t="shared" si="154"/>
        <v>0</v>
      </c>
      <c r="N403" s="60">
        <f t="shared" si="154"/>
        <v>0</v>
      </c>
      <c r="O403" s="60">
        <f t="shared" si="154"/>
        <v>0</v>
      </c>
      <c r="P403" s="30"/>
    </row>
    <row r="404" spans="1:16" x14ac:dyDescent="0.25">
      <c r="A404" s="9"/>
      <c r="B404" s="9"/>
      <c r="C404" s="9"/>
      <c r="P404" s="30"/>
    </row>
    <row r="405" spans="1:16" x14ac:dyDescent="0.25">
      <c r="A405" s="9" t="s">
        <v>253</v>
      </c>
      <c r="B405" s="9" t="s">
        <v>306</v>
      </c>
      <c r="C405" s="9" t="s">
        <v>246</v>
      </c>
      <c r="D405" s="60">
        <f>(D361+D367)*$D$374</f>
        <v>102.62994726899385</v>
      </c>
      <c r="E405" s="60">
        <f t="shared" ref="E405:O405" si="155">(E361+E367)*$D$374</f>
        <v>102.62994726899385</v>
      </c>
      <c r="F405" s="60">
        <f t="shared" si="155"/>
        <v>102.62994726899385</v>
      </c>
      <c r="G405" s="60">
        <f t="shared" si="155"/>
        <v>102.62994726899385</v>
      </c>
      <c r="H405" s="60">
        <f t="shared" si="155"/>
        <v>0</v>
      </c>
      <c r="I405" s="60">
        <f t="shared" si="155"/>
        <v>0</v>
      </c>
      <c r="J405" s="60">
        <f t="shared" si="155"/>
        <v>0</v>
      </c>
      <c r="K405" s="60">
        <f t="shared" si="155"/>
        <v>0</v>
      </c>
      <c r="L405" s="60">
        <f t="shared" si="155"/>
        <v>0</v>
      </c>
      <c r="M405" s="60">
        <f t="shared" si="155"/>
        <v>0</v>
      </c>
      <c r="N405" s="60">
        <f t="shared" si="155"/>
        <v>0</v>
      </c>
      <c r="O405" s="60">
        <f t="shared" si="155"/>
        <v>0</v>
      </c>
      <c r="P405" s="30"/>
    </row>
    <row r="406" spans="1:16" x14ac:dyDescent="0.25">
      <c r="A406" s="9" t="s">
        <v>254</v>
      </c>
      <c r="B406" s="9" t="s">
        <v>307</v>
      </c>
      <c r="C406" s="9" t="s">
        <v>249</v>
      </c>
      <c r="D406" s="60">
        <f t="shared" ref="D406:O407" si="156">(D362+D368)*$D$374</f>
        <v>19.695008624229981</v>
      </c>
      <c r="E406" s="60">
        <f t="shared" si="156"/>
        <v>19.695008624229981</v>
      </c>
      <c r="F406" s="60">
        <f t="shared" si="156"/>
        <v>19.695008624229981</v>
      </c>
      <c r="G406" s="60">
        <f t="shared" si="156"/>
        <v>19.695008624229981</v>
      </c>
      <c r="H406" s="60">
        <f t="shared" si="156"/>
        <v>0</v>
      </c>
      <c r="I406" s="60">
        <f t="shared" si="156"/>
        <v>0</v>
      </c>
      <c r="J406" s="60">
        <f t="shared" si="156"/>
        <v>0</v>
      </c>
      <c r="K406" s="60">
        <f t="shared" si="156"/>
        <v>0</v>
      </c>
      <c r="L406" s="60">
        <f t="shared" si="156"/>
        <v>0</v>
      </c>
      <c r="M406" s="60">
        <f t="shared" si="156"/>
        <v>0</v>
      </c>
      <c r="N406" s="60">
        <f t="shared" si="156"/>
        <v>0</v>
      </c>
      <c r="O406" s="60">
        <f t="shared" si="156"/>
        <v>0</v>
      </c>
      <c r="P406" s="30"/>
    </row>
    <row r="407" spans="1:16" x14ac:dyDescent="0.25">
      <c r="A407" s="9" t="s">
        <v>255</v>
      </c>
      <c r="B407" s="9" t="s">
        <v>308</v>
      </c>
      <c r="C407" s="9" t="s">
        <v>252</v>
      </c>
      <c r="D407" s="60">
        <f t="shared" si="156"/>
        <v>103.36315027416838</v>
      </c>
      <c r="E407" s="60">
        <f t="shared" si="156"/>
        <v>103.36315027416838</v>
      </c>
      <c r="F407" s="60">
        <f t="shared" si="156"/>
        <v>103.36315027416838</v>
      </c>
      <c r="G407" s="60">
        <f t="shared" si="156"/>
        <v>103.36315027416838</v>
      </c>
      <c r="H407" s="60">
        <f t="shared" si="156"/>
        <v>0</v>
      </c>
      <c r="I407" s="60">
        <f t="shared" si="156"/>
        <v>0</v>
      </c>
      <c r="J407" s="60">
        <f t="shared" si="156"/>
        <v>0</v>
      </c>
      <c r="K407" s="60">
        <f t="shared" si="156"/>
        <v>0</v>
      </c>
      <c r="L407" s="60">
        <f t="shared" si="156"/>
        <v>0</v>
      </c>
      <c r="M407" s="60">
        <f t="shared" si="156"/>
        <v>0</v>
      </c>
      <c r="N407" s="60">
        <f t="shared" si="156"/>
        <v>0</v>
      </c>
      <c r="O407" s="60">
        <f t="shared" si="156"/>
        <v>0</v>
      </c>
      <c r="P407" s="30"/>
    </row>
    <row r="408" spans="1:16" x14ac:dyDescent="0.25">
      <c r="A408" s="9"/>
      <c r="B408" s="9"/>
      <c r="C408" s="9"/>
      <c r="D408" s="60"/>
      <c r="E408" s="60"/>
      <c r="F408" s="60"/>
      <c r="G408" s="60"/>
      <c r="H408" s="60"/>
      <c r="I408" s="60"/>
      <c r="J408" s="60"/>
      <c r="K408" s="60"/>
      <c r="L408" s="60"/>
      <c r="M408" s="60"/>
      <c r="N408" s="60"/>
      <c r="O408" s="60"/>
      <c r="P408" s="30"/>
    </row>
    <row r="409" spans="1:16" x14ac:dyDescent="0.25">
      <c r="A409" s="9" t="s">
        <v>256</v>
      </c>
      <c r="B409" s="9" t="s">
        <v>737</v>
      </c>
      <c r="C409" s="9" t="s">
        <v>246</v>
      </c>
      <c r="D409" s="34">
        <f>D405*$D378</f>
        <v>1.0262994726899384</v>
      </c>
      <c r="E409" s="34">
        <f t="shared" ref="E409:O409" si="157">E405*$D378</f>
        <v>1.0262994726899384</v>
      </c>
      <c r="F409" s="34">
        <f t="shared" si="157"/>
        <v>1.0262994726899384</v>
      </c>
      <c r="G409" s="34">
        <f t="shared" si="157"/>
        <v>1.0262994726899384</v>
      </c>
      <c r="H409" s="34">
        <f t="shared" si="157"/>
        <v>0</v>
      </c>
      <c r="I409" s="34">
        <f t="shared" si="157"/>
        <v>0</v>
      </c>
      <c r="J409" s="34">
        <f t="shared" si="157"/>
        <v>0</v>
      </c>
      <c r="K409" s="34">
        <f t="shared" si="157"/>
        <v>0</v>
      </c>
      <c r="L409" s="34">
        <f t="shared" si="157"/>
        <v>0</v>
      </c>
      <c r="M409" s="34">
        <f t="shared" si="157"/>
        <v>0</v>
      </c>
      <c r="N409" s="34">
        <f t="shared" si="157"/>
        <v>0</v>
      </c>
      <c r="O409" s="34">
        <f t="shared" si="157"/>
        <v>0</v>
      </c>
      <c r="P409" s="30"/>
    </row>
    <row r="410" spans="1:16" x14ac:dyDescent="0.25">
      <c r="A410" s="9" t="s">
        <v>257</v>
      </c>
      <c r="B410" s="9" t="s">
        <v>738</v>
      </c>
      <c r="C410" s="9" t="s">
        <v>249</v>
      </c>
      <c r="D410" s="34">
        <f>D406*$D379</f>
        <v>0.17725507761806986</v>
      </c>
      <c r="E410" s="34">
        <f t="shared" ref="E410:O410" si="158">E406*$D379</f>
        <v>0.17725507761806986</v>
      </c>
      <c r="F410" s="34">
        <f t="shared" si="158"/>
        <v>0.17725507761806986</v>
      </c>
      <c r="G410" s="34">
        <f t="shared" si="158"/>
        <v>0.17725507761806986</v>
      </c>
      <c r="H410" s="34">
        <f t="shared" si="158"/>
        <v>0</v>
      </c>
      <c r="I410" s="34">
        <f t="shared" si="158"/>
        <v>0</v>
      </c>
      <c r="J410" s="34">
        <f t="shared" si="158"/>
        <v>0</v>
      </c>
      <c r="K410" s="34">
        <f t="shared" si="158"/>
        <v>0</v>
      </c>
      <c r="L410" s="34">
        <f t="shared" si="158"/>
        <v>0</v>
      </c>
      <c r="M410" s="34">
        <f t="shared" si="158"/>
        <v>0</v>
      </c>
      <c r="N410" s="34">
        <f t="shared" si="158"/>
        <v>0</v>
      </c>
      <c r="O410" s="34">
        <f t="shared" si="158"/>
        <v>0</v>
      </c>
      <c r="P410" s="30"/>
    </row>
    <row r="411" spans="1:16" x14ac:dyDescent="0.25">
      <c r="A411" s="9" t="s">
        <v>258</v>
      </c>
      <c r="B411" s="9" t="s">
        <v>739</v>
      </c>
      <c r="C411" s="9" t="s">
        <v>252</v>
      </c>
      <c r="D411" s="34">
        <f>D407*$D380</f>
        <v>1.1369946530158521</v>
      </c>
      <c r="E411" s="34">
        <f t="shared" ref="E411:O411" si="159">E407*$D380</f>
        <v>1.1369946530158521</v>
      </c>
      <c r="F411" s="34">
        <f t="shared" si="159"/>
        <v>1.1369946530158521</v>
      </c>
      <c r="G411" s="34">
        <f t="shared" si="159"/>
        <v>1.1369946530158521</v>
      </c>
      <c r="H411" s="34">
        <f t="shared" si="159"/>
        <v>0</v>
      </c>
      <c r="I411" s="34">
        <f t="shared" si="159"/>
        <v>0</v>
      </c>
      <c r="J411" s="34">
        <f t="shared" si="159"/>
        <v>0</v>
      </c>
      <c r="K411" s="34">
        <f t="shared" si="159"/>
        <v>0</v>
      </c>
      <c r="L411" s="34">
        <f t="shared" si="159"/>
        <v>0</v>
      </c>
      <c r="M411" s="34">
        <f t="shared" si="159"/>
        <v>0</v>
      </c>
      <c r="N411" s="34">
        <f t="shared" si="159"/>
        <v>0</v>
      </c>
      <c r="O411" s="34">
        <f t="shared" si="159"/>
        <v>0</v>
      </c>
      <c r="P411" s="30"/>
    </row>
    <row r="412" spans="1:16" x14ac:dyDescent="0.25">
      <c r="A412" s="9"/>
      <c r="B412" s="9"/>
      <c r="C412" s="9"/>
      <c r="D412" s="34"/>
      <c r="E412" s="34"/>
      <c r="F412" s="34"/>
      <c r="G412" s="34"/>
      <c r="H412" s="34"/>
      <c r="I412" s="34"/>
      <c r="J412" s="34"/>
      <c r="K412" s="34"/>
      <c r="L412" s="34"/>
      <c r="M412" s="34"/>
      <c r="N412" s="34"/>
      <c r="O412" s="34"/>
      <c r="P412" s="30"/>
    </row>
    <row r="413" spans="1:16" x14ac:dyDescent="0.25">
      <c r="A413" s="9" t="s">
        <v>740</v>
      </c>
      <c r="B413" s="9" t="s">
        <v>743</v>
      </c>
      <c r="C413" s="9" t="s">
        <v>246</v>
      </c>
      <c r="D413" s="34">
        <f>D405-D409</f>
        <v>101.6036477963039</v>
      </c>
      <c r="E413" s="34">
        <f t="shared" ref="E413:O413" si="160">E405-E409</f>
        <v>101.6036477963039</v>
      </c>
      <c r="F413" s="34">
        <f t="shared" si="160"/>
        <v>101.6036477963039</v>
      </c>
      <c r="G413" s="34">
        <f t="shared" si="160"/>
        <v>101.6036477963039</v>
      </c>
      <c r="H413" s="34">
        <f t="shared" si="160"/>
        <v>0</v>
      </c>
      <c r="I413" s="34">
        <f t="shared" si="160"/>
        <v>0</v>
      </c>
      <c r="J413" s="34">
        <f t="shared" si="160"/>
        <v>0</v>
      </c>
      <c r="K413" s="34">
        <f t="shared" si="160"/>
        <v>0</v>
      </c>
      <c r="L413" s="34">
        <f t="shared" si="160"/>
        <v>0</v>
      </c>
      <c r="M413" s="34">
        <f t="shared" si="160"/>
        <v>0</v>
      </c>
      <c r="N413" s="34">
        <f t="shared" si="160"/>
        <v>0</v>
      </c>
      <c r="O413" s="34">
        <f t="shared" si="160"/>
        <v>0</v>
      </c>
      <c r="P413" s="30"/>
    </row>
    <row r="414" spans="1:16" x14ac:dyDescent="0.25">
      <c r="A414" s="9" t="s">
        <v>741</v>
      </c>
      <c r="B414" s="9" t="s">
        <v>744</v>
      </c>
      <c r="C414" s="9" t="s">
        <v>249</v>
      </c>
      <c r="D414" s="34">
        <f t="shared" ref="D414:O415" si="161">D406-D410</f>
        <v>19.51775354661191</v>
      </c>
      <c r="E414" s="34">
        <f t="shared" si="161"/>
        <v>19.51775354661191</v>
      </c>
      <c r="F414" s="34">
        <f t="shared" si="161"/>
        <v>19.51775354661191</v>
      </c>
      <c r="G414" s="34">
        <f t="shared" si="161"/>
        <v>19.51775354661191</v>
      </c>
      <c r="H414" s="34">
        <f t="shared" si="161"/>
        <v>0</v>
      </c>
      <c r="I414" s="34">
        <f t="shared" si="161"/>
        <v>0</v>
      </c>
      <c r="J414" s="34">
        <f t="shared" si="161"/>
        <v>0</v>
      </c>
      <c r="K414" s="34">
        <f t="shared" si="161"/>
        <v>0</v>
      </c>
      <c r="L414" s="34">
        <f t="shared" si="161"/>
        <v>0</v>
      </c>
      <c r="M414" s="34">
        <f t="shared" si="161"/>
        <v>0</v>
      </c>
      <c r="N414" s="34">
        <f t="shared" si="161"/>
        <v>0</v>
      </c>
      <c r="O414" s="34">
        <f t="shared" si="161"/>
        <v>0</v>
      </c>
      <c r="P414" s="30"/>
    </row>
    <row r="415" spans="1:16" x14ac:dyDescent="0.25">
      <c r="A415" s="9" t="s">
        <v>742</v>
      </c>
      <c r="B415" s="9" t="s">
        <v>745</v>
      </c>
      <c r="C415" s="9" t="s">
        <v>252</v>
      </c>
      <c r="D415" s="34">
        <f t="shared" si="161"/>
        <v>102.22615562115253</v>
      </c>
      <c r="E415" s="34">
        <f t="shared" si="161"/>
        <v>102.22615562115253</v>
      </c>
      <c r="F415" s="34">
        <f t="shared" si="161"/>
        <v>102.22615562115253</v>
      </c>
      <c r="G415" s="34">
        <f t="shared" si="161"/>
        <v>102.22615562115253</v>
      </c>
      <c r="H415" s="34">
        <f t="shared" si="161"/>
        <v>0</v>
      </c>
      <c r="I415" s="34">
        <f t="shared" si="161"/>
        <v>0</v>
      </c>
      <c r="J415" s="34">
        <f t="shared" si="161"/>
        <v>0</v>
      </c>
      <c r="K415" s="34">
        <f t="shared" si="161"/>
        <v>0</v>
      </c>
      <c r="L415" s="34">
        <f t="shared" si="161"/>
        <v>0</v>
      </c>
      <c r="M415" s="34">
        <f t="shared" si="161"/>
        <v>0</v>
      </c>
      <c r="N415" s="34">
        <f t="shared" si="161"/>
        <v>0</v>
      </c>
      <c r="O415" s="34">
        <f t="shared" si="161"/>
        <v>0</v>
      </c>
      <c r="P415" s="30"/>
    </row>
    <row r="416" spans="1:16" x14ac:dyDescent="0.25">
      <c r="D416" s="34"/>
      <c r="E416" s="34"/>
      <c r="F416" s="34"/>
      <c r="G416" s="34"/>
      <c r="H416" s="34"/>
      <c r="I416" s="34"/>
      <c r="J416" s="34"/>
      <c r="K416" s="34"/>
      <c r="L416" s="34"/>
      <c r="M416" s="34"/>
      <c r="N416" s="34"/>
      <c r="O416" s="34"/>
      <c r="P416" s="30"/>
    </row>
    <row r="417" spans="1:16" x14ac:dyDescent="0.25">
      <c r="A417" s="5" t="s">
        <v>259</v>
      </c>
      <c r="B417" s="9" t="s">
        <v>260</v>
      </c>
      <c r="C417" s="33"/>
      <c r="D417" s="34"/>
      <c r="E417" s="34"/>
      <c r="F417" s="34"/>
      <c r="G417" s="34"/>
      <c r="H417" s="34"/>
      <c r="I417" s="34"/>
      <c r="J417" s="34"/>
      <c r="K417" s="34"/>
      <c r="L417" s="34"/>
      <c r="M417" s="34"/>
      <c r="N417" s="34"/>
      <c r="O417" s="34"/>
      <c r="P417" s="30"/>
    </row>
    <row r="418" spans="1:16" x14ac:dyDescent="0.25">
      <c r="A418" s="5" t="s">
        <v>58</v>
      </c>
      <c r="B418" s="44" t="s">
        <v>261</v>
      </c>
      <c r="C418" s="5" t="s">
        <v>233</v>
      </c>
      <c r="D418" s="69">
        <f>IF(D$399&lt;=0,0,(D401+D409)/D$399)</f>
        <v>0</v>
      </c>
      <c r="E418" s="69">
        <f t="shared" ref="E418:O418" si="162">IF(E$399&lt;=0,0,(E401+E409)/E$399)</f>
        <v>0</v>
      </c>
      <c r="F418" s="69">
        <f t="shared" si="162"/>
        <v>0</v>
      </c>
      <c r="G418" s="69">
        <f t="shared" si="162"/>
        <v>0</v>
      </c>
      <c r="H418" s="69">
        <f t="shared" si="162"/>
        <v>0</v>
      </c>
      <c r="I418" s="69">
        <f t="shared" si="162"/>
        <v>0</v>
      </c>
      <c r="J418" s="69">
        <f t="shared" si="162"/>
        <v>0</v>
      </c>
      <c r="K418" s="69">
        <f t="shared" si="162"/>
        <v>0</v>
      </c>
      <c r="L418" s="69">
        <f t="shared" si="162"/>
        <v>0</v>
      </c>
      <c r="M418" s="69">
        <f t="shared" si="162"/>
        <v>0</v>
      </c>
      <c r="N418" s="69">
        <f t="shared" si="162"/>
        <v>0</v>
      </c>
      <c r="O418" s="69">
        <f t="shared" si="162"/>
        <v>0</v>
      </c>
      <c r="P418" s="30"/>
    </row>
    <row r="419" spans="1:16" x14ac:dyDescent="0.25">
      <c r="A419" s="5" t="s">
        <v>59</v>
      </c>
      <c r="B419" s="5"/>
      <c r="C419" s="5" t="s">
        <v>234</v>
      </c>
      <c r="D419" s="69">
        <f t="shared" ref="D419:O420" si="163">IF(D$399&lt;=0,0,(D402+D410)/D$399)</f>
        <v>0</v>
      </c>
      <c r="E419" s="69">
        <f t="shared" si="163"/>
        <v>0</v>
      </c>
      <c r="F419" s="69">
        <f t="shared" si="163"/>
        <v>0</v>
      </c>
      <c r="G419" s="69">
        <f t="shared" si="163"/>
        <v>0</v>
      </c>
      <c r="H419" s="69">
        <f t="shared" si="163"/>
        <v>0</v>
      </c>
      <c r="I419" s="69">
        <f t="shared" si="163"/>
        <v>0</v>
      </c>
      <c r="J419" s="69">
        <f t="shared" si="163"/>
        <v>0</v>
      </c>
      <c r="K419" s="69">
        <f t="shared" si="163"/>
        <v>0</v>
      </c>
      <c r="L419" s="69">
        <f t="shared" si="163"/>
        <v>0</v>
      </c>
      <c r="M419" s="69">
        <f t="shared" si="163"/>
        <v>0</v>
      </c>
      <c r="N419" s="69">
        <f t="shared" si="163"/>
        <v>0</v>
      </c>
      <c r="O419" s="69">
        <f t="shared" si="163"/>
        <v>0</v>
      </c>
      <c r="P419" s="30"/>
    </row>
    <row r="420" spans="1:16" x14ac:dyDescent="0.25">
      <c r="A420" s="5" t="s">
        <v>60</v>
      </c>
      <c r="B420" s="5"/>
      <c r="C420" s="5" t="s">
        <v>235</v>
      </c>
      <c r="D420" s="69">
        <f>IF(D$399&lt;=0,0,(D403+D411)/D$399)</f>
        <v>0</v>
      </c>
      <c r="E420" s="69">
        <f t="shared" si="163"/>
        <v>0</v>
      </c>
      <c r="F420" s="69">
        <f t="shared" si="163"/>
        <v>0</v>
      </c>
      <c r="G420" s="69">
        <f t="shared" si="163"/>
        <v>0</v>
      </c>
      <c r="H420" s="69">
        <f t="shared" si="163"/>
        <v>0</v>
      </c>
      <c r="I420" s="69">
        <f t="shared" si="163"/>
        <v>0</v>
      </c>
      <c r="J420" s="69">
        <f t="shared" si="163"/>
        <v>0</v>
      </c>
      <c r="K420" s="69">
        <f t="shared" si="163"/>
        <v>0</v>
      </c>
      <c r="L420" s="69">
        <f t="shared" si="163"/>
        <v>0</v>
      </c>
      <c r="M420" s="69">
        <f t="shared" si="163"/>
        <v>0</v>
      </c>
      <c r="N420" s="69">
        <f t="shared" si="163"/>
        <v>0</v>
      </c>
      <c r="O420" s="69">
        <f t="shared" si="163"/>
        <v>0</v>
      </c>
      <c r="P420" s="30"/>
    </row>
    <row r="421" spans="1:16" x14ac:dyDescent="0.25">
      <c r="A421" s="33"/>
      <c r="B421" s="33"/>
      <c r="C421" s="33"/>
      <c r="D421" s="69"/>
      <c r="E421" s="69"/>
      <c r="F421" s="69"/>
      <c r="G421" s="69"/>
      <c r="H421" s="69"/>
      <c r="I421" s="69"/>
      <c r="J421" s="69"/>
      <c r="K421" s="69"/>
      <c r="L421" s="69"/>
      <c r="M421" s="69"/>
      <c r="N421" s="69"/>
      <c r="O421" s="69"/>
      <c r="P421" s="30"/>
    </row>
    <row r="422" spans="1:16" x14ac:dyDescent="0.25">
      <c r="A422" s="5" t="s">
        <v>236</v>
      </c>
      <c r="B422" s="33"/>
      <c r="C422" s="33"/>
      <c r="D422" s="69"/>
      <c r="E422" s="69"/>
      <c r="F422" s="69"/>
      <c r="G422" s="69"/>
      <c r="H422" s="69"/>
      <c r="I422" s="69"/>
      <c r="J422" s="69"/>
      <c r="K422" s="69"/>
      <c r="L422" s="69"/>
      <c r="M422" s="69"/>
      <c r="N422" s="69"/>
      <c r="O422" s="69"/>
      <c r="P422" s="30"/>
    </row>
    <row r="423" spans="1:16" x14ac:dyDescent="0.25">
      <c r="A423" s="5" t="s">
        <v>58</v>
      </c>
      <c r="B423" s="239" t="s">
        <v>746</v>
      </c>
      <c r="C423" s="5" t="s">
        <v>275</v>
      </c>
      <c r="D423" s="69">
        <f>IF(D$398&lt;=0,0,D413/D$398)</f>
        <v>5.9609314285714294</v>
      </c>
      <c r="E423" s="69">
        <f t="shared" ref="E423:O423" si="164">IF(E$398&lt;=0,0,E413/E$398)</f>
        <v>5.9609314285714294</v>
      </c>
      <c r="F423" s="69">
        <f t="shared" si="164"/>
        <v>5.9609314285714294</v>
      </c>
      <c r="G423" s="69">
        <f t="shared" si="164"/>
        <v>5.9609314285714294</v>
      </c>
      <c r="H423" s="69">
        <f t="shared" si="164"/>
        <v>0</v>
      </c>
      <c r="I423" s="69">
        <f t="shared" si="164"/>
        <v>0</v>
      </c>
      <c r="J423" s="69">
        <f t="shared" si="164"/>
        <v>0</v>
      </c>
      <c r="K423" s="69">
        <f t="shared" si="164"/>
        <v>0</v>
      </c>
      <c r="L423" s="69">
        <f t="shared" si="164"/>
        <v>0</v>
      </c>
      <c r="M423" s="69">
        <f t="shared" si="164"/>
        <v>0</v>
      </c>
      <c r="N423" s="69">
        <f t="shared" si="164"/>
        <v>0</v>
      </c>
      <c r="O423" s="69">
        <f t="shared" si="164"/>
        <v>0</v>
      </c>
      <c r="P423" s="30"/>
    </row>
    <row r="424" spans="1:16" x14ac:dyDescent="0.25">
      <c r="A424" s="5" t="s">
        <v>59</v>
      </c>
      <c r="B424" s="5"/>
      <c r="C424" s="5" t="s">
        <v>276</v>
      </c>
      <c r="D424" s="69">
        <f>IF(D$398&lt;=0,0,D414/D$398)</f>
        <v>1.1450769047619049</v>
      </c>
      <c r="E424" s="69">
        <f t="shared" ref="E424:O424" si="165">IF(E$398&lt;=0,0,E414/E$398)</f>
        <v>1.1450769047619049</v>
      </c>
      <c r="F424" s="69">
        <f t="shared" si="165"/>
        <v>1.1450769047619049</v>
      </c>
      <c r="G424" s="69">
        <f t="shared" si="165"/>
        <v>1.1450769047619049</v>
      </c>
      <c r="H424" s="69">
        <f t="shared" si="165"/>
        <v>0</v>
      </c>
      <c r="I424" s="69">
        <f t="shared" si="165"/>
        <v>0</v>
      </c>
      <c r="J424" s="69">
        <f t="shared" si="165"/>
        <v>0</v>
      </c>
      <c r="K424" s="69">
        <f t="shared" si="165"/>
        <v>0</v>
      </c>
      <c r="L424" s="69">
        <f t="shared" si="165"/>
        <v>0</v>
      </c>
      <c r="M424" s="69">
        <f t="shared" si="165"/>
        <v>0</v>
      </c>
      <c r="N424" s="69">
        <f t="shared" si="165"/>
        <v>0</v>
      </c>
      <c r="O424" s="69">
        <f t="shared" si="165"/>
        <v>0</v>
      </c>
      <c r="P424" s="30"/>
    </row>
    <row r="425" spans="1:16" x14ac:dyDescent="0.25">
      <c r="A425" s="5" t="s">
        <v>60</v>
      </c>
      <c r="B425" s="5"/>
      <c r="C425" s="5" t="s">
        <v>277</v>
      </c>
      <c r="D425" s="69">
        <f>IF(D$398&lt;=0,0,D415/D$398)</f>
        <v>5.9974530155238108</v>
      </c>
      <c r="E425" s="69">
        <f t="shared" ref="E425:O425" si="166">IF(E$398&lt;=0,0,E415/E$398)</f>
        <v>5.9974530155238108</v>
      </c>
      <c r="F425" s="69">
        <f t="shared" si="166"/>
        <v>5.9974530155238108</v>
      </c>
      <c r="G425" s="69">
        <f t="shared" si="166"/>
        <v>5.9974530155238108</v>
      </c>
      <c r="H425" s="69">
        <f t="shared" si="166"/>
        <v>0</v>
      </c>
      <c r="I425" s="69">
        <f t="shared" si="166"/>
        <v>0</v>
      </c>
      <c r="J425" s="69">
        <f t="shared" si="166"/>
        <v>0</v>
      </c>
      <c r="K425" s="69">
        <f t="shared" si="166"/>
        <v>0</v>
      </c>
      <c r="L425" s="69">
        <f t="shared" si="166"/>
        <v>0</v>
      </c>
      <c r="M425" s="69">
        <f t="shared" si="166"/>
        <v>0</v>
      </c>
      <c r="N425" s="69">
        <f t="shared" si="166"/>
        <v>0</v>
      </c>
      <c r="O425" s="69">
        <f t="shared" si="166"/>
        <v>0</v>
      </c>
      <c r="P425" s="30"/>
    </row>
    <row r="426" spans="1:16" x14ac:dyDescent="0.25">
      <c r="P426" s="30"/>
    </row>
    <row r="427" spans="1:16" x14ac:dyDescent="0.25">
      <c r="A427" s="75" t="str">
        <f>param_bovins!A133</f>
        <v>Bovin à l'engrais (0 - 1 an)</v>
      </c>
      <c r="B427" s="75"/>
      <c r="C427" s="75"/>
      <c r="D427" s="75" t="s">
        <v>132</v>
      </c>
      <c r="E427" s="75" t="s">
        <v>133</v>
      </c>
      <c r="F427" s="75" t="s">
        <v>134</v>
      </c>
      <c r="G427" s="75" t="s">
        <v>135</v>
      </c>
      <c r="H427" s="75" t="s">
        <v>136</v>
      </c>
      <c r="I427" s="75" t="s">
        <v>137</v>
      </c>
      <c r="J427" s="75" t="s">
        <v>138</v>
      </c>
      <c r="K427" s="75" t="s">
        <v>139</v>
      </c>
      <c r="L427" s="75" t="s">
        <v>140</v>
      </c>
      <c r="M427" s="75" t="s">
        <v>141</v>
      </c>
      <c r="N427" s="75" t="s">
        <v>142</v>
      </c>
      <c r="O427" s="75" t="s">
        <v>143</v>
      </c>
      <c r="P427" s="30"/>
    </row>
    <row r="428" spans="1:16" x14ac:dyDescent="0.25">
      <c r="A428" s="42" t="s">
        <v>280</v>
      </c>
      <c r="B428" s="42"/>
      <c r="C428" s="42"/>
      <c r="D428">
        <f>'Saisie 2_bovins'!G31</f>
        <v>0</v>
      </c>
      <c r="E428">
        <f>'Saisie 2_bovins'!H31</f>
        <v>0</v>
      </c>
      <c r="F428">
        <f>'Saisie 2_bovins'!I31</f>
        <v>0</v>
      </c>
      <c r="G428">
        <f>'Saisie 2_bovins'!J31</f>
        <v>0</v>
      </c>
      <c r="H428">
        <f>'Saisie 2_bovins'!K31</f>
        <v>0</v>
      </c>
      <c r="I428">
        <f>'Saisie 2_bovins'!L31</f>
        <v>0</v>
      </c>
      <c r="J428">
        <f>'Saisie 2_bovins'!M31</f>
        <v>0</v>
      </c>
      <c r="K428">
        <f>'Saisie 2_bovins'!N31</f>
        <v>0</v>
      </c>
      <c r="L428">
        <f>'Saisie 2_bovins'!O31</f>
        <v>0</v>
      </c>
      <c r="M428">
        <f>'Saisie 2_bovins'!P31</f>
        <v>0</v>
      </c>
      <c r="N428">
        <f>'Saisie 2_bovins'!Q31</f>
        <v>0</v>
      </c>
      <c r="O428">
        <f>'Saisie 2_bovins'!R31</f>
        <v>0</v>
      </c>
      <c r="P428" s="30"/>
    </row>
    <row r="429" spans="1:16" x14ac:dyDescent="0.25">
      <c r="A429" t="s">
        <v>151</v>
      </c>
      <c r="B429" t="s">
        <v>328</v>
      </c>
      <c r="C429" t="s">
        <v>312</v>
      </c>
      <c r="D429" s="74">
        <f>IF(D428=param_bovins!$A$143,param_bovins!$H$143*'Saisie 2_bovins'!$D$30+param_bovins!$I$143,IF(Calculs_bovins!D428=param_bovins!$A$144,param_bovins!$H$144*'Saisie 2_bovins'!$D$30+param_bovins!$I$144,IF(Calculs_bovins!D428=param_bovins!$A$145,param_bovins!$H$145*'Saisie 2_bovins'!$D$30+param_bovins!$I$145,IF(D428=param_bovins!$A$146,param_bovins!$H$146*'Saisie 2_bovins'!$D$30+param_bovins!$I$146,0))))</f>
        <v>0</v>
      </c>
      <c r="E429" s="74">
        <f>IF(E428=param_bovins!$A$143,param_bovins!$H$143*'Saisie 2_bovins'!$D$30+param_bovins!$I$143,IF(Calculs_bovins!E428=param_bovins!$A$144,param_bovins!$H$144*'Saisie 2_bovins'!$D$30+param_bovins!$I$144,IF(Calculs_bovins!E428=param_bovins!$A$145,param_bovins!$H$145*'Saisie 2_bovins'!$D$30+param_bovins!$I$145,IF(E428=param_bovins!$A$146,param_bovins!$H$146*'Saisie 2_bovins'!$D$30+param_bovins!$I$146,0))))</f>
        <v>0</v>
      </c>
      <c r="F429" s="74">
        <f>IF(F428=param_bovins!$A$143,param_bovins!$H$143*'Saisie 2_bovins'!$D$30+param_bovins!$I$143,IF(Calculs_bovins!F428=param_bovins!$A$144,param_bovins!$H$144*'Saisie 2_bovins'!$D$30+param_bovins!$I$144,IF(Calculs_bovins!F428=param_bovins!$A$145,param_bovins!$H$145*'Saisie 2_bovins'!$D$30+param_bovins!$I$145,IF(F428=param_bovins!$A$146,param_bovins!$H$146*'Saisie 2_bovins'!$D$30+param_bovins!$I$146,0))))</f>
        <v>0</v>
      </c>
      <c r="G429" s="74">
        <f>IF(G428=param_bovins!$A$143,param_bovins!$H$143*'Saisie 2_bovins'!$D$30+param_bovins!$I$143,IF(Calculs_bovins!G428=param_bovins!$A$144,param_bovins!$H$144*'Saisie 2_bovins'!$D$30+param_bovins!$I$144,IF(Calculs_bovins!G428=param_bovins!$A$145,param_bovins!$H$145*'Saisie 2_bovins'!$D$30+param_bovins!$I$145,IF(G428=param_bovins!$A$146,param_bovins!$H$146*'Saisie 2_bovins'!$D$30+param_bovins!$I$146,0))))</f>
        <v>0</v>
      </c>
      <c r="H429" s="74">
        <f>IF(H428=param_bovins!$A$143,param_bovins!$H$143*'Saisie 2_bovins'!$D$30+param_bovins!$I$143,IF(Calculs_bovins!H428=param_bovins!$A$144,param_bovins!$H$144*'Saisie 2_bovins'!$D$30+param_bovins!$I$144,IF(Calculs_bovins!H428=param_bovins!$A$145,param_bovins!$H$145*'Saisie 2_bovins'!$D$30+param_bovins!$I$145,IF(H428=param_bovins!$A$146,param_bovins!$H$146*'Saisie 2_bovins'!$D$30+param_bovins!$I$146,0))))</f>
        <v>0</v>
      </c>
      <c r="I429" s="74">
        <f>IF(I428=param_bovins!$A$143,param_bovins!$H$143*'Saisie 2_bovins'!$D$30+param_bovins!$I$143,IF(Calculs_bovins!I428=param_bovins!$A$144,param_bovins!$H$144*'Saisie 2_bovins'!$D$30+param_bovins!$I$144,IF(Calculs_bovins!I428=param_bovins!$A$145,param_bovins!$H$145*'Saisie 2_bovins'!$D$30+param_bovins!$I$145,IF(I428=param_bovins!$A$146,param_bovins!$H$146*'Saisie 2_bovins'!$D$30+param_bovins!$I$146,0))))</f>
        <v>0</v>
      </c>
      <c r="J429" s="74">
        <f>IF(J428=param_bovins!$A$143,param_bovins!$H$143*'Saisie 2_bovins'!$D$30+param_bovins!$I$143,IF(Calculs_bovins!J428=param_bovins!$A$144,param_bovins!$H$144*'Saisie 2_bovins'!$D$30+param_bovins!$I$144,IF(Calculs_bovins!J428=param_bovins!$A$145,param_bovins!$H$145*'Saisie 2_bovins'!$D$30+param_bovins!$I$145,IF(J428=param_bovins!$A$146,param_bovins!$H$146*'Saisie 2_bovins'!$D$30+param_bovins!$I$146,0))))</f>
        <v>0</v>
      </c>
      <c r="K429" s="74">
        <f>IF(K428=param_bovins!$A$143,param_bovins!$H$143*'Saisie 2_bovins'!$D$30+param_bovins!$I$143,IF(Calculs_bovins!K428=param_bovins!$A$144,param_bovins!$H$144*'Saisie 2_bovins'!$D$30+param_bovins!$I$144,IF(Calculs_bovins!K428=param_bovins!$A$145,param_bovins!$H$145*'Saisie 2_bovins'!$D$30+param_bovins!$I$145,IF(K428=param_bovins!$A$146,param_bovins!$H$146*'Saisie 2_bovins'!$D$30+param_bovins!$I$146,0))))</f>
        <v>0</v>
      </c>
      <c r="L429" s="74">
        <f>IF(L428=param_bovins!$A$143,param_bovins!$H$143*'Saisie 2_bovins'!$D$30+param_bovins!$I$143,IF(Calculs_bovins!L428=param_bovins!$A$144,param_bovins!$H$144*'Saisie 2_bovins'!$D$30+param_bovins!$I$144,IF(Calculs_bovins!L428=param_bovins!$A$145,param_bovins!$H$145*'Saisie 2_bovins'!$D$30+param_bovins!$I$145,IF(L428=param_bovins!$A$146,param_bovins!$H$146*'Saisie 2_bovins'!$D$30+param_bovins!$I$146,0))))</f>
        <v>0</v>
      </c>
      <c r="M429" s="74">
        <f>IF(M428=param_bovins!$A$143,param_bovins!$H$143*'Saisie 2_bovins'!$D$30+param_bovins!$I$143,IF(Calculs_bovins!M428=param_bovins!$A$144,param_bovins!$H$144*'Saisie 2_bovins'!$D$30+param_bovins!$I$144,IF(Calculs_bovins!M428=param_bovins!$A$145,param_bovins!$H$145*'Saisie 2_bovins'!$D$30+param_bovins!$I$145,IF(M428=param_bovins!$A$146,param_bovins!$H$146*'Saisie 2_bovins'!$D$30+param_bovins!$I$146,0))))</f>
        <v>0</v>
      </c>
      <c r="N429" s="74">
        <f>IF(N428=param_bovins!$A$143,param_bovins!$H$143*'Saisie 2_bovins'!$D$30+param_bovins!$I$143,IF(Calculs_bovins!N428=param_bovins!$A$144,param_bovins!$H$144*'Saisie 2_bovins'!$D$30+param_bovins!$I$144,IF(Calculs_bovins!N428=param_bovins!$A$145,param_bovins!$H$145*'Saisie 2_bovins'!$D$30+param_bovins!$I$145,IF(N428=param_bovins!$A$146,param_bovins!$H$146*'Saisie 2_bovins'!$D$30+param_bovins!$I$146,0))))</f>
        <v>0</v>
      </c>
      <c r="O429" s="74">
        <f>IF(O428=param_bovins!$A$143,param_bovins!$H$143*'Saisie 2_bovins'!$D$30+param_bovins!$I$143,IF(Calculs_bovins!O428=param_bovins!$A$144,param_bovins!$H$144*'Saisie 2_bovins'!$D$30+param_bovins!$I$144,IF(Calculs_bovins!O428=param_bovins!$A$145,param_bovins!$H$145*'Saisie 2_bovins'!$D$30+param_bovins!$I$145,IF(O428=param_bovins!$A$146,param_bovins!$H$146*'Saisie 2_bovins'!$D$30+param_bovins!$I$146,0))))</f>
        <v>0</v>
      </c>
      <c r="P429" s="30"/>
    </row>
    <row r="430" spans="1:16" x14ac:dyDescent="0.25">
      <c r="A430" t="s">
        <v>144</v>
      </c>
      <c r="B430" t="s">
        <v>329</v>
      </c>
      <c r="C430" t="s">
        <v>313</v>
      </c>
      <c r="D430" s="74">
        <f>IF(D428=param_bovins!$A$143,param_bovins!$B$143*'Saisie 2_bovins'!$D$30+param_bovins!$C$143,IF(Calculs_bovins!D428=param_bovins!$A$144,param_bovins!$B$144*'Saisie 2_bovins'!$D$30+param_bovins!$C$144,IF(Calculs_bovins!D428=param_bovins!$A$145,param_bovins!$B$145*'Saisie 2_bovins'!$D$30+param_bovins!$C$145,IF(D428=param_bovins!$A$146,param_bovins!$B$146*'Saisie 2_bovins'!$D$30+param_bovins!$C$146,0))))/1000</f>
        <v>0</v>
      </c>
      <c r="E430" s="74">
        <f>IF(E428=param_bovins!$A$143,param_bovins!$B$143*'Saisie 2_bovins'!$D$30+param_bovins!$C$143,IF(Calculs_bovins!E428=param_bovins!$A$144,param_bovins!$B$144*'Saisie 2_bovins'!$D$30+param_bovins!$C$144,IF(Calculs_bovins!E428=param_bovins!$A$145,param_bovins!$B$145*'Saisie 2_bovins'!$D$30+param_bovins!$C$145,IF(E428=param_bovins!$A$146,param_bovins!$B$146*'Saisie 2_bovins'!$D$30+param_bovins!$C$146,0))))/1000</f>
        <v>0</v>
      </c>
      <c r="F430" s="74">
        <f>IF(F428=param_bovins!$A$143,param_bovins!$B$143*'Saisie 2_bovins'!$D$30+param_bovins!$C$143,IF(Calculs_bovins!F428=param_bovins!$A$144,param_bovins!$B$144*'Saisie 2_bovins'!$D$30+param_bovins!$C$144,IF(Calculs_bovins!F428=param_bovins!$A$145,param_bovins!$B$145*'Saisie 2_bovins'!$D$30+param_bovins!$C$145,IF(F428=param_bovins!$A$146,param_bovins!$B$146*'Saisie 2_bovins'!$D$30+param_bovins!$C$146,0))))/1000</f>
        <v>0</v>
      </c>
      <c r="G430" s="74">
        <f>IF(G428=param_bovins!$A$143,param_bovins!$B$143*'Saisie 2_bovins'!$D$30+param_bovins!$C$143,IF(Calculs_bovins!G428=param_bovins!$A$144,param_bovins!$B$144*'Saisie 2_bovins'!$D$30+param_bovins!$C$144,IF(Calculs_bovins!G428=param_bovins!$A$145,param_bovins!$B$145*'Saisie 2_bovins'!$D$30+param_bovins!$C$145,IF(G428=param_bovins!$A$146,param_bovins!$B$146*'Saisie 2_bovins'!$D$30+param_bovins!$C$146,0))))/1000</f>
        <v>0</v>
      </c>
      <c r="H430" s="74">
        <f>IF(H428=param_bovins!$A$143,param_bovins!$B$143*'Saisie 2_bovins'!$D$30+param_bovins!$C$143,IF(Calculs_bovins!H428=param_bovins!$A$144,param_bovins!$B$144*'Saisie 2_bovins'!$D$30+param_bovins!$C$144,IF(Calculs_bovins!H428=param_bovins!$A$145,param_bovins!$B$145*'Saisie 2_bovins'!$D$30+param_bovins!$C$145,IF(H428=param_bovins!$A$146,param_bovins!$B$146*'Saisie 2_bovins'!$D$30+param_bovins!$C$146,0))))/1000</f>
        <v>0</v>
      </c>
      <c r="I430" s="74">
        <f>IF(I428=param_bovins!$A$143,param_bovins!$B$143*'Saisie 2_bovins'!$D$30+param_bovins!$C$143,IF(Calculs_bovins!I428=param_bovins!$A$144,param_bovins!$B$144*'Saisie 2_bovins'!$D$30+param_bovins!$C$144,IF(Calculs_bovins!I428=param_bovins!$A$145,param_bovins!$B$145*'Saisie 2_bovins'!$D$30+param_bovins!$C$145,IF(I428=param_bovins!$A$146,param_bovins!$B$146*'Saisie 2_bovins'!$D$30+param_bovins!$C$146,0))))/1000</f>
        <v>0</v>
      </c>
      <c r="J430" s="74">
        <f>IF(J428=param_bovins!$A$143,param_bovins!$B$143*'Saisie 2_bovins'!$D$30+param_bovins!$C$143,IF(Calculs_bovins!J428=param_bovins!$A$144,param_bovins!$B$144*'Saisie 2_bovins'!$D$30+param_bovins!$C$144,IF(Calculs_bovins!J428=param_bovins!$A$145,param_bovins!$B$145*'Saisie 2_bovins'!$D$30+param_bovins!$C$145,IF(J428=param_bovins!$A$146,param_bovins!$B$146*'Saisie 2_bovins'!$D$30+param_bovins!$C$146,0))))/1000</f>
        <v>0</v>
      </c>
      <c r="K430" s="74">
        <f>IF(K428=param_bovins!$A$143,param_bovins!$B$143*'Saisie 2_bovins'!$D$30+param_bovins!$C$143,IF(Calculs_bovins!K428=param_bovins!$A$144,param_bovins!$B$144*'Saisie 2_bovins'!$D$30+param_bovins!$C$144,IF(Calculs_bovins!K428=param_bovins!$A$145,param_bovins!$B$145*'Saisie 2_bovins'!$D$30+param_bovins!$C$145,IF(K428=param_bovins!$A$146,param_bovins!$B$146*'Saisie 2_bovins'!$D$30+param_bovins!$C$146,0))))/1000</f>
        <v>0</v>
      </c>
      <c r="L430" s="74">
        <f>IF(L428=param_bovins!$A$143,param_bovins!$B$143*'Saisie 2_bovins'!$D$30+param_bovins!$C$143,IF(Calculs_bovins!L428=param_bovins!$A$144,param_bovins!$B$144*'Saisie 2_bovins'!$D$30+param_bovins!$C$144,IF(Calculs_bovins!L428=param_bovins!$A$145,param_bovins!$B$145*'Saisie 2_bovins'!$D$30+param_bovins!$C$145,IF(L428=param_bovins!$A$146,param_bovins!$B$146*'Saisie 2_bovins'!$D$30+param_bovins!$C$146,0))))/1000</f>
        <v>0</v>
      </c>
      <c r="M430" s="74">
        <f>IF(M428=param_bovins!$A$143,param_bovins!$B$143*'Saisie 2_bovins'!$D$30+param_bovins!$C$143,IF(Calculs_bovins!M428=param_bovins!$A$144,param_bovins!$B$144*'Saisie 2_bovins'!$D$30+param_bovins!$C$144,IF(Calculs_bovins!M428=param_bovins!$A$145,param_bovins!$B$145*'Saisie 2_bovins'!$D$30+param_bovins!$C$145,IF(M428=param_bovins!$A$146,param_bovins!$B$146*'Saisie 2_bovins'!$D$30+param_bovins!$C$146,0))))/1000</f>
        <v>0</v>
      </c>
      <c r="N430" s="74">
        <f>IF(N428=param_bovins!$A$143,param_bovins!$B$143*'Saisie 2_bovins'!$D$30+param_bovins!$C$143,IF(Calculs_bovins!N428=param_bovins!$A$144,param_bovins!$B$144*'Saisie 2_bovins'!$D$30+param_bovins!$C$144,IF(Calculs_bovins!N428=param_bovins!$A$145,param_bovins!$B$145*'Saisie 2_bovins'!$D$30+param_bovins!$C$145,IF(N428=param_bovins!$A$146,param_bovins!$B$146*'Saisie 2_bovins'!$D$30+param_bovins!$C$146,0))))/1000</f>
        <v>0</v>
      </c>
      <c r="O430" s="74">
        <f>IF(O428=param_bovins!$A$143,param_bovins!$B$143*'Saisie 2_bovins'!$D$30+param_bovins!$C$143,IF(Calculs_bovins!O428=param_bovins!$A$144,param_bovins!$B$144*'Saisie 2_bovins'!$D$30+param_bovins!$C$144,IF(Calculs_bovins!O428=param_bovins!$A$145,param_bovins!$B$145*'Saisie 2_bovins'!$D$30+param_bovins!$C$145,IF(O428=param_bovins!$A$146,param_bovins!$B$146*'Saisie 2_bovins'!$D$30+param_bovins!$C$146,0))))/1000</f>
        <v>0</v>
      </c>
      <c r="P430" s="30"/>
    </row>
    <row r="431" spans="1:16" x14ac:dyDescent="0.25">
      <c r="A431" t="s">
        <v>146</v>
      </c>
      <c r="B431" t="s">
        <v>329</v>
      </c>
      <c r="C431" t="s">
        <v>314</v>
      </c>
      <c r="D431" s="60">
        <f>IF(D428=param_bovins!$A$143,param_bovins!$D$143*'Saisie 2_bovins'!$D$30+param_bovins!$E$143,IF(Calculs_bovins!D428=param_bovins!$A$144,param_bovins!$D$144*'Saisie 2_bovins'!$D$30+param_bovins!$E$144,IF(Calculs_bovins!D428=param_bovins!$A$145,param_bovins!$D$145*'Saisie 2_bovins'!$D$30+param_bovins!$E$145,IF(D428=param_bovins!$A$146,param_bovins!$D$146*'Saisie 2_bovins'!$D$30+param_bovins!$E$146,0))))/1000</f>
        <v>0</v>
      </c>
      <c r="E431" s="60">
        <f>IF(E428=param_bovins!$A$143,param_bovins!$D$143*'Saisie 2_bovins'!$D$30+param_bovins!$E$143,IF(Calculs_bovins!E428=param_bovins!$A$144,param_bovins!$D$144*'Saisie 2_bovins'!$D$30+param_bovins!$E$144,IF(Calculs_bovins!E428=param_bovins!$A$145,param_bovins!$D$145*'Saisie 2_bovins'!$D$30+param_bovins!$E$145,IF(E428=param_bovins!$A$146,param_bovins!$D$146*'Saisie 2_bovins'!$D$30+param_bovins!$E$146,0))))/1000</f>
        <v>0</v>
      </c>
      <c r="F431" s="60">
        <f>IF(F428=param_bovins!$A$143,param_bovins!$D$143*'Saisie 2_bovins'!$D$30+param_bovins!$E$143,IF(Calculs_bovins!F428=param_bovins!$A$144,param_bovins!$D$144*'Saisie 2_bovins'!$D$30+param_bovins!$E$144,IF(Calculs_bovins!F428=param_bovins!$A$145,param_bovins!$D$145*'Saisie 2_bovins'!$D$30+param_bovins!$E$145,IF(F428=param_bovins!$A$146,param_bovins!$D$146*'Saisie 2_bovins'!$D$30+param_bovins!$E$146,0))))/1000</f>
        <v>0</v>
      </c>
      <c r="G431" s="60">
        <f>IF(G428=param_bovins!$A$143,param_bovins!$D$143*'Saisie 2_bovins'!$D$30+param_bovins!$E$143,IF(Calculs_bovins!G428=param_bovins!$A$144,param_bovins!$D$144*'Saisie 2_bovins'!$D$30+param_bovins!$E$144,IF(Calculs_bovins!G428=param_bovins!$A$145,param_bovins!$D$145*'Saisie 2_bovins'!$D$30+param_bovins!$E$145,IF(G428=param_bovins!$A$146,param_bovins!$D$146*'Saisie 2_bovins'!$D$30+param_bovins!$E$146,0))))/1000</f>
        <v>0</v>
      </c>
      <c r="H431" s="60">
        <f>IF(H428=param_bovins!$A$143,param_bovins!$D$143*'Saisie 2_bovins'!$D$30+param_bovins!$E$143,IF(Calculs_bovins!H428=param_bovins!$A$144,param_bovins!$D$144*'Saisie 2_bovins'!$D$30+param_bovins!$E$144,IF(Calculs_bovins!H428=param_bovins!$A$145,param_bovins!$D$145*'Saisie 2_bovins'!$D$30+param_bovins!$E$145,IF(H428=param_bovins!$A$146,param_bovins!$D$146*'Saisie 2_bovins'!$D$30+param_bovins!$E$146,0))))/1000</f>
        <v>0</v>
      </c>
      <c r="I431" s="60">
        <f>IF(I428=param_bovins!$A$143,param_bovins!$D$143*'Saisie 2_bovins'!$D$30+param_bovins!$E$143,IF(Calculs_bovins!I428=param_bovins!$A$144,param_bovins!$D$144*'Saisie 2_bovins'!$D$30+param_bovins!$E$144,IF(Calculs_bovins!I428=param_bovins!$A$145,param_bovins!$D$145*'Saisie 2_bovins'!$D$30+param_bovins!$E$145,IF(I428=param_bovins!$A$146,param_bovins!$D$146*'Saisie 2_bovins'!$D$30+param_bovins!$E$146,0))))/1000</f>
        <v>0</v>
      </c>
      <c r="J431" s="60">
        <f>IF(J428=param_bovins!$A$143,param_bovins!$D$143*'Saisie 2_bovins'!$D$30+param_bovins!$E$143,IF(Calculs_bovins!J428=param_bovins!$A$144,param_bovins!$D$144*'Saisie 2_bovins'!$D$30+param_bovins!$E$144,IF(Calculs_bovins!J428=param_bovins!$A$145,param_bovins!$D$145*'Saisie 2_bovins'!$D$30+param_bovins!$E$145,IF(J428=param_bovins!$A$146,param_bovins!$D$146*'Saisie 2_bovins'!$D$30+param_bovins!$E$146,0))))/1000</f>
        <v>0</v>
      </c>
      <c r="K431" s="60">
        <f>IF(K428=param_bovins!$A$143,param_bovins!$D$143*'Saisie 2_bovins'!$D$30+param_bovins!$E$143,IF(Calculs_bovins!K428=param_bovins!$A$144,param_bovins!$D$144*'Saisie 2_bovins'!$D$30+param_bovins!$E$144,IF(Calculs_bovins!K428=param_bovins!$A$145,param_bovins!$D$145*'Saisie 2_bovins'!$D$30+param_bovins!$E$145,IF(K428=param_bovins!$A$146,param_bovins!$D$146*'Saisie 2_bovins'!$D$30+param_bovins!$E$146,0))))/1000</f>
        <v>0</v>
      </c>
      <c r="L431" s="60">
        <f>IF(L428=param_bovins!$A$143,param_bovins!$D$143*'Saisie 2_bovins'!$D$30+param_bovins!$E$143,IF(Calculs_bovins!L428=param_bovins!$A$144,param_bovins!$D$144*'Saisie 2_bovins'!$D$30+param_bovins!$E$144,IF(Calculs_bovins!L428=param_bovins!$A$145,param_bovins!$D$145*'Saisie 2_bovins'!$D$30+param_bovins!$E$145,IF(L428=param_bovins!$A$146,param_bovins!$D$146*'Saisie 2_bovins'!$D$30+param_bovins!$E$146,0))))/1000</f>
        <v>0</v>
      </c>
      <c r="M431" s="60">
        <f>IF(M428=param_bovins!$A$143,param_bovins!$D$143*'Saisie 2_bovins'!$D$30+param_bovins!$E$143,IF(Calculs_bovins!M428=param_bovins!$A$144,param_bovins!$D$144*'Saisie 2_bovins'!$D$30+param_bovins!$E$144,IF(Calculs_bovins!M428=param_bovins!$A$145,param_bovins!$D$145*'Saisie 2_bovins'!$D$30+param_bovins!$E$145,IF(M428=param_bovins!$A$146,param_bovins!$D$146*'Saisie 2_bovins'!$D$30+param_bovins!$E$146,0))))/1000</f>
        <v>0</v>
      </c>
      <c r="N431" s="60">
        <f>IF(N428=param_bovins!$A$143,param_bovins!$D$143*'Saisie 2_bovins'!$D$30+param_bovins!$E$143,IF(Calculs_bovins!N428=param_bovins!$A$144,param_bovins!$D$144*'Saisie 2_bovins'!$D$30+param_bovins!$E$144,IF(Calculs_bovins!N428=param_bovins!$A$145,param_bovins!$D$145*'Saisie 2_bovins'!$D$30+param_bovins!$E$145,IF(N428=param_bovins!$A$146,param_bovins!$D$146*'Saisie 2_bovins'!$D$30+param_bovins!$E$146,0))))/1000</f>
        <v>0</v>
      </c>
      <c r="O431" s="60">
        <f>IF(O428=param_bovins!$A$143,param_bovins!$D$143*'Saisie 2_bovins'!$D$30+param_bovins!$E$143,IF(Calculs_bovins!O428=param_bovins!$A$144,param_bovins!$D$144*'Saisie 2_bovins'!$D$30+param_bovins!$E$144,IF(Calculs_bovins!O428=param_bovins!$A$145,param_bovins!$D$145*'Saisie 2_bovins'!$D$30+param_bovins!$E$145,IF(O428=param_bovins!$A$146,param_bovins!$D$146*'Saisie 2_bovins'!$D$30+param_bovins!$E$146,0))))/1000</f>
        <v>0</v>
      </c>
      <c r="P431" s="30"/>
    </row>
    <row r="432" spans="1:16" x14ac:dyDescent="0.25">
      <c r="A432" t="s">
        <v>150</v>
      </c>
      <c r="B432" t="s">
        <v>329</v>
      </c>
      <c r="C432" t="s">
        <v>315</v>
      </c>
      <c r="D432" s="60">
        <f>IF(D428=param_bovins!$A$143,param_bovins!$F$143*'Saisie 2_bovins'!$D$30+param_bovins!$G$143,IF(Calculs_bovins!D428=param_bovins!$A$144,param_bovins!$F$144*'Saisie 2_bovins'!$D$30+param_bovins!$G$144,IF(Calculs_bovins!D428=param_bovins!$A$145,param_bovins!$F$145*'Saisie 2_bovins'!$D$30+param_bovins!$G$145,IF(D428=param_bovins!$A$146,param_bovins!$F$146*'Saisie 2_bovins'!$D$30+param_bovins!$G$146,0))))/1000</f>
        <v>0</v>
      </c>
      <c r="E432" s="60">
        <f>IF(E428=param_bovins!$A$143,param_bovins!$F$143*'Saisie 2_bovins'!$D$30+param_bovins!$G$143,IF(Calculs_bovins!E428=param_bovins!$A$144,param_bovins!$F$144*'Saisie 2_bovins'!$D$30+param_bovins!$G$144,IF(Calculs_bovins!E428=param_bovins!$A$145,param_bovins!$F$145*'Saisie 2_bovins'!$D$30+param_bovins!$G$145,IF(E428=param_bovins!$A$146,param_bovins!$F$146*'Saisie 2_bovins'!$D$30+param_bovins!$G$146,0))))/1000</f>
        <v>0</v>
      </c>
      <c r="F432" s="60">
        <f>IF(F428=param_bovins!$A$143,param_bovins!$F$143*'Saisie 2_bovins'!$D$30+param_bovins!$G$143,IF(Calculs_bovins!F428=param_bovins!$A$144,param_bovins!$F$144*'Saisie 2_bovins'!$D$30+param_bovins!$G$144,IF(Calculs_bovins!F428=param_bovins!$A$145,param_bovins!$F$145*'Saisie 2_bovins'!$D$30+param_bovins!$G$145,IF(F428=param_bovins!$A$146,param_bovins!$F$146*'Saisie 2_bovins'!$D$30+param_bovins!$G$146,0))))/1000</f>
        <v>0</v>
      </c>
      <c r="G432" s="60">
        <f>IF(G428=param_bovins!$A$143,param_bovins!$F$143*'Saisie 2_bovins'!$D$30+param_bovins!$G$143,IF(Calculs_bovins!G428=param_bovins!$A$144,param_bovins!$F$144*'Saisie 2_bovins'!$D$30+param_bovins!$G$144,IF(Calculs_bovins!G428=param_bovins!$A$145,param_bovins!$F$145*'Saisie 2_bovins'!$D$30+param_bovins!$G$145,IF(G428=param_bovins!$A$146,param_bovins!$F$146*'Saisie 2_bovins'!$D$30+param_bovins!$G$146,0))))/1000</f>
        <v>0</v>
      </c>
      <c r="H432" s="60">
        <f>IF(H428=param_bovins!$A$143,param_bovins!$F$143*'Saisie 2_bovins'!$D$30+param_bovins!$G$143,IF(Calculs_bovins!H428=param_bovins!$A$144,param_bovins!$F$144*'Saisie 2_bovins'!$D$30+param_bovins!$G$144,IF(Calculs_bovins!H428=param_bovins!$A$145,param_bovins!$F$145*'Saisie 2_bovins'!$D$30+param_bovins!$G$145,IF(H428=param_bovins!$A$146,param_bovins!$F$146*'Saisie 2_bovins'!$D$30+param_bovins!$G$146,0))))/1000</f>
        <v>0</v>
      </c>
      <c r="I432" s="60">
        <f>IF(I428=param_bovins!$A$143,param_bovins!$F$143*'Saisie 2_bovins'!$D$30+param_bovins!$G$143,IF(Calculs_bovins!I428=param_bovins!$A$144,param_bovins!$F$144*'Saisie 2_bovins'!$D$30+param_bovins!$G$144,IF(Calculs_bovins!I428=param_bovins!$A$145,param_bovins!$F$145*'Saisie 2_bovins'!$D$30+param_bovins!$G$145,IF(I428=param_bovins!$A$146,param_bovins!$F$146*'Saisie 2_bovins'!$D$30+param_bovins!$G$146,0))))/1000</f>
        <v>0</v>
      </c>
      <c r="J432" s="60">
        <f>IF(J428=param_bovins!$A$143,param_bovins!$F$143*'Saisie 2_bovins'!$D$30+param_bovins!$G$143,IF(Calculs_bovins!J428=param_bovins!$A$144,param_bovins!$F$144*'Saisie 2_bovins'!$D$30+param_bovins!$G$144,IF(Calculs_bovins!J428=param_bovins!$A$145,param_bovins!$F$145*'Saisie 2_bovins'!$D$30+param_bovins!$G$145,IF(J428=param_bovins!$A$146,param_bovins!$F$146*'Saisie 2_bovins'!$D$30+param_bovins!$G$146,0))))/1000</f>
        <v>0</v>
      </c>
      <c r="K432" s="60">
        <f>IF(K428=param_bovins!$A$143,param_bovins!$F$143*'Saisie 2_bovins'!$D$30+param_bovins!$G$143,IF(Calculs_bovins!K428=param_bovins!$A$144,param_bovins!$F$144*'Saisie 2_bovins'!$D$30+param_bovins!$G$144,IF(Calculs_bovins!K428=param_bovins!$A$145,param_bovins!$F$145*'Saisie 2_bovins'!$D$30+param_bovins!$G$145,IF(K428=param_bovins!$A$146,param_bovins!$F$146*'Saisie 2_bovins'!$D$30+param_bovins!$G$146,0))))/1000</f>
        <v>0</v>
      </c>
      <c r="L432" s="60">
        <f>IF(L428=param_bovins!$A$143,param_bovins!$F$143*'Saisie 2_bovins'!$D$30+param_bovins!$G$143,IF(Calculs_bovins!L428=param_bovins!$A$144,param_bovins!$F$144*'Saisie 2_bovins'!$D$30+param_bovins!$G$144,IF(Calculs_bovins!L428=param_bovins!$A$145,param_bovins!$F$145*'Saisie 2_bovins'!$D$30+param_bovins!$G$145,IF(L428=param_bovins!$A$146,param_bovins!$F$146*'Saisie 2_bovins'!$D$30+param_bovins!$G$146,0))))/1000</f>
        <v>0</v>
      </c>
      <c r="M432" s="60">
        <f>IF(M428=param_bovins!$A$143,param_bovins!$F$143*'Saisie 2_bovins'!$D$30+param_bovins!$G$143,IF(Calculs_bovins!M428=param_bovins!$A$144,param_bovins!$F$144*'Saisie 2_bovins'!$D$30+param_bovins!$G$144,IF(Calculs_bovins!M428=param_bovins!$A$145,param_bovins!$F$145*'Saisie 2_bovins'!$D$30+param_bovins!$G$145,IF(M428=param_bovins!$A$146,param_bovins!$F$146*'Saisie 2_bovins'!$D$30+param_bovins!$G$146,0))))/1000</f>
        <v>0</v>
      </c>
      <c r="N432" s="60">
        <f>IF(N428=param_bovins!$A$143,param_bovins!$F$143*'Saisie 2_bovins'!$D$30+param_bovins!$G$143,IF(Calculs_bovins!N428=param_bovins!$A$144,param_bovins!$F$144*'Saisie 2_bovins'!$D$30+param_bovins!$G$144,IF(Calculs_bovins!N428=param_bovins!$A$145,param_bovins!$F$145*'Saisie 2_bovins'!$D$30+param_bovins!$G$145,IF(N428=param_bovins!$A$146,param_bovins!$F$146*'Saisie 2_bovins'!$D$30+param_bovins!$G$146,0))))/1000</f>
        <v>0</v>
      </c>
      <c r="O432" s="60">
        <f>IF(O428=param_bovins!$A$143,param_bovins!$F$143*'Saisie 2_bovins'!$D$30+param_bovins!$G$143,IF(Calculs_bovins!O428=param_bovins!$A$144,param_bovins!$F$144*'Saisie 2_bovins'!$D$30+param_bovins!$G$144,IF(Calculs_bovins!O428=param_bovins!$A$145,param_bovins!$F$145*'Saisie 2_bovins'!$D$30+param_bovins!$G$145,IF(O428=param_bovins!$A$146,param_bovins!$F$146*'Saisie 2_bovins'!$D$30+param_bovins!$G$146,0))))/1000</f>
        <v>0</v>
      </c>
      <c r="P432" s="30"/>
    </row>
    <row r="433" spans="1:16" x14ac:dyDescent="0.25">
      <c r="A433" s="36" t="s">
        <v>291</v>
      </c>
      <c r="B433" s="36"/>
      <c r="C433" s="36" t="s">
        <v>316</v>
      </c>
      <c r="D433" s="72">
        <f>D430*12</f>
        <v>0</v>
      </c>
      <c r="E433" s="72">
        <f t="shared" ref="E433:O433" si="167">E430*12</f>
        <v>0</v>
      </c>
      <c r="F433" s="72">
        <f t="shared" si="167"/>
        <v>0</v>
      </c>
      <c r="G433" s="72">
        <f t="shared" si="167"/>
        <v>0</v>
      </c>
      <c r="H433" s="72">
        <f t="shared" si="167"/>
        <v>0</v>
      </c>
      <c r="I433" s="72">
        <f t="shared" si="167"/>
        <v>0</v>
      </c>
      <c r="J433" s="72">
        <f t="shared" si="167"/>
        <v>0</v>
      </c>
      <c r="K433" s="72">
        <f t="shared" si="167"/>
        <v>0</v>
      </c>
      <c r="L433" s="72">
        <f t="shared" si="167"/>
        <v>0</v>
      </c>
      <c r="M433" s="72">
        <f t="shared" si="167"/>
        <v>0</v>
      </c>
      <c r="N433" s="72">
        <f t="shared" si="167"/>
        <v>0</v>
      </c>
      <c r="O433" s="72">
        <f t="shared" si="167"/>
        <v>0</v>
      </c>
      <c r="P433" s="30"/>
    </row>
    <row r="434" spans="1:16" x14ac:dyDescent="0.25">
      <c r="A434" s="36"/>
      <c r="B434" s="36"/>
      <c r="C434" s="36" t="s">
        <v>317</v>
      </c>
      <c r="D434" s="72">
        <f>D431*12</f>
        <v>0</v>
      </c>
      <c r="E434" s="72">
        <f t="shared" ref="E434:O434" si="168">E431*12</f>
        <v>0</v>
      </c>
      <c r="F434" s="72">
        <f t="shared" si="168"/>
        <v>0</v>
      </c>
      <c r="G434" s="72">
        <f t="shared" si="168"/>
        <v>0</v>
      </c>
      <c r="H434" s="72">
        <f t="shared" si="168"/>
        <v>0</v>
      </c>
      <c r="I434" s="72">
        <f t="shared" si="168"/>
        <v>0</v>
      </c>
      <c r="J434" s="72">
        <f t="shared" si="168"/>
        <v>0</v>
      </c>
      <c r="K434" s="72">
        <f t="shared" si="168"/>
        <v>0</v>
      </c>
      <c r="L434" s="72">
        <f t="shared" si="168"/>
        <v>0</v>
      </c>
      <c r="M434" s="72">
        <f t="shared" si="168"/>
        <v>0</v>
      </c>
      <c r="N434" s="72">
        <f t="shared" si="168"/>
        <v>0</v>
      </c>
      <c r="O434" s="72">
        <f t="shared" si="168"/>
        <v>0</v>
      </c>
      <c r="P434" s="30"/>
    </row>
    <row r="435" spans="1:16" x14ac:dyDescent="0.25">
      <c r="A435" s="36"/>
      <c r="B435" s="36"/>
      <c r="C435" s="36" t="s">
        <v>318</v>
      </c>
      <c r="D435" s="72">
        <f>D432*12</f>
        <v>0</v>
      </c>
      <c r="E435" s="72">
        <f t="shared" ref="E435:O435" si="169">E432*12</f>
        <v>0</v>
      </c>
      <c r="F435" s="72">
        <f t="shared" si="169"/>
        <v>0</v>
      </c>
      <c r="G435" s="72">
        <f t="shared" si="169"/>
        <v>0</v>
      </c>
      <c r="H435" s="72">
        <f t="shared" si="169"/>
        <v>0</v>
      </c>
      <c r="I435" s="72">
        <f t="shared" si="169"/>
        <v>0</v>
      </c>
      <c r="J435" s="72">
        <f t="shared" si="169"/>
        <v>0</v>
      </c>
      <c r="K435" s="72">
        <f t="shared" si="169"/>
        <v>0</v>
      </c>
      <c r="L435" s="72">
        <f t="shared" si="169"/>
        <v>0</v>
      </c>
      <c r="M435" s="72">
        <f t="shared" si="169"/>
        <v>0</v>
      </c>
      <c r="N435" s="72">
        <f t="shared" si="169"/>
        <v>0</v>
      </c>
      <c r="O435" s="72">
        <f t="shared" si="169"/>
        <v>0</v>
      </c>
      <c r="P435" s="30"/>
    </row>
    <row r="436" spans="1:16" x14ac:dyDescent="0.25">
      <c r="A436" s="57"/>
      <c r="B436" s="57"/>
      <c r="C436" s="36" t="s">
        <v>319</v>
      </c>
      <c r="D436" s="72">
        <f>D429/(365.25/12)</f>
        <v>0</v>
      </c>
      <c r="E436" s="72">
        <f t="shared" ref="E436:O436" si="170">E429/(365.25/12)</f>
        <v>0</v>
      </c>
      <c r="F436" s="72">
        <f t="shared" si="170"/>
        <v>0</v>
      </c>
      <c r="G436" s="72">
        <f t="shared" si="170"/>
        <v>0</v>
      </c>
      <c r="H436" s="72">
        <f t="shared" si="170"/>
        <v>0</v>
      </c>
      <c r="I436" s="72">
        <f t="shared" si="170"/>
        <v>0</v>
      </c>
      <c r="J436" s="72">
        <f t="shared" si="170"/>
        <v>0</v>
      </c>
      <c r="K436" s="72">
        <f t="shared" si="170"/>
        <v>0</v>
      </c>
      <c r="L436" s="72">
        <f t="shared" si="170"/>
        <v>0</v>
      </c>
      <c r="M436" s="72">
        <f t="shared" si="170"/>
        <v>0</v>
      </c>
      <c r="N436" s="72">
        <f t="shared" si="170"/>
        <v>0</v>
      </c>
      <c r="O436" s="72">
        <f t="shared" si="170"/>
        <v>0</v>
      </c>
      <c r="P436" s="30"/>
    </row>
    <row r="437" spans="1:16" x14ac:dyDescent="0.25">
      <c r="A437" s="57"/>
      <c r="B437" s="57"/>
      <c r="C437" s="36" t="s">
        <v>320</v>
      </c>
      <c r="D437" s="72">
        <f>IF(D428=param_bovins!$A$101,param_bovins!$F$78*D436,IF(D428=param_bovins!$A$102,param_bovins!$F$79*D436,IF(D428=param_bovins!$A$103,param_bovins!$F$80*D436,IF(D428=param_bovins!$A$104,param_bovins!$F$81*D436,0))))</f>
        <v>0</v>
      </c>
      <c r="E437" s="72">
        <f>IF(E428=param_bovins!$A$101,param_bovins!$F$78*E436,IF(E428=param_bovins!$A$102,param_bovins!$F$79*E436,IF(E428=param_bovins!$A$103,param_bovins!$F$80*E436,IF(E428=param_bovins!$A$104,param_bovins!$F$81*E436,0))))</f>
        <v>0</v>
      </c>
      <c r="F437" s="72">
        <f>IF(F428=param_bovins!$A$101,param_bovins!$F$78*F436,IF(F428=param_bovins!$A$102,param_bovins!$F$79*F436,IF(F428=param_bovins!$A$103,param_bovins!$F$80*F436,IF(F428=param_bovins!$A$104,param_bovins!$F$81*F436,0))))</f>
        <v>0</v>
      </c>
      <c r="G437" s="72">
        <f>IF(G428=param_bovins!$A$101,param_bovins!$F$78*G436,IF(G428=param_bovins!$A$102,param_bovins!$F$79*G436,IF(G428=param_bovins!$A$103,param_bovins!$F$80*G436,IF(G428=param_bovins!$A$104,param_bovins!$F$81*G436,0))))</f>
        <v>0</v>
      </c>
      <c r="H437" s="72">
        <f>IF(H428=param_bovins!$A$101,param_bovins!$F$78*H436,IF(H428=param_bovins!$A$102,param_bovins!$F$79*H436,IF(H428=param_bovins!$A$103,param_bovins!$F$80*H436,IF(H428=param_bovins!$A$104,param_bovins!$F$81*H436,0))))</f>
        <v>0</v>
      </c>
      <c r="I437" s="72">
        <f>IF(I428=param_bovins!$A$101,param_bovins!$F$78*I436,IF(I428=param_bovins!$A$102,param_bovins!$F$79*I436,IF(I428=param_bovins!$A$103,param_bovins!$F$80*I436,IF(I428=param_bovins!$A$104,param_bovins!$F$81*I436,0))))</f>
        <v>0</v>
      </c>
      <c r="J437" s="72">
        <f>IF(J428=param_bovins!$A$101,param_bovins!$F$78*J436,IF(J428=param_bovins!$A$102,param_bovins!$F$79*J436,IF(J428=param_bovins!$A$103,param_bovins!$F$80*J436,IF(J428=param_bovins!$A$104,param_bovins!$F$81*J436,0))))</f>
        <v>0</v>
      </c>
      <c r="K437" s="72">
        <f>IF(K428=param_bovins!$A$101,param_bovins!$F$78*K436,IF(K428=param_bovins!$A$102,param_bovins!$F$79*K436,IF(K428=param_bovins!$A$103,param_bovins!$F$80*K436,IF(K428=param_bovins!$A$104,param_bovins!$F$81*K436,0))))</f>
        <v>0</v>
      </c>
      <c r="L437" s="72">
        <f>IF(L428=param_bovins!$A$101,param_bovins!$F$78*L436,IF(L428=param_bovins!$A$102,param_bovins!$F$79*L436,IF(L428=param_bovins!$A$103,param_bovins!$F$80*L436,IF(L428=param_bovins!$A$104,param_bovins!$F$81*L436,0))))</f>
        <v>0</v>
      </c>
      <c r="M437" s="72">
        <f>IF(M428=param_bovins!$A$101,param_bovins!$F$78*M436,IF(M428=param_bovins!$A$102,param_bovins!$F$79*M436,IF(M428=param_bovins!$A$103,param_bovins!$F$80*M436,IF(M428=param_bovins!$A$104,param_bovins!$F$81*M436,0))))</f>
        <v>0</v>
      </c>
      <c r="N437" s="72">
        <f>IF(N428=param_bovins!$A$101,param_bovins!$F$78*N436,IF(N428=param_bovins!$A$102,param_bovins!$F$79*N436,IF(N428=param_bovins!$A$103,param_bovins!$F$80*N436,IF(N428=param_bovins!$A$104,param_bovins!$F$81*N436,0))))</f>
        <v>0</v>
      </c>
      <c r="O437" s="72">
        <f>IF(O428=param_bovins!$A$101,param_bovins!$F$78*O436,IF(O428=param_bovins!$A$102,param_bovins!$F$79*O436,IF(O428=param_bovins!$A$103,param_bovins!$F$80*O436,IF(O428=param_bovins!$A$104,param_bovins!$F$81*O436,0))))</f>
        <v>0</v>
      </c>
      <c r="P437" s="30"/>
    </row>
    <row r="438" spans="1:16" x14ac:dyDescent="0.25">
      <c r="A438" s="12"/>
      <c r="B438" s="12"/>
      <c r="C438" s="42"/>
      <c r="P438" s="30"/>
    </row>
    <row r="439" spans="1:16" x14ac:dyDescent="0.25">
      <c r="A439" t="s">
        <v>346</v>
      </c>
      <c r="B439" s="33"/>
      <c r="C439" s="36" t="s">
        <v>347</v>
      </c>
      <c r="D439">
        <f>'Feuille saisie commune'!$E$11</f>
        <v>0</v>
      </c>
      <c r="E439">
        <f>'Feuille saisie commune'!$E$11</f>
        <v>0</v>
      </c>
      <c r="F439">
        <f>'Feuille saisie commune'!$E$11</f>
        <v>0</v>
      </c>
      <c r="G439">
        <f>'Feuille saisie commune'!$E$11</f>
        <v>0</v>
      </c>
      <c r="H439">
        <f>'Feuille saisie commune'!$E$11</f>
        <v>0</v>
      </c>
      <c r="I439">
        <f>'Feuille saisie commune'!$E$11</f>
        <v>0</v>
      </c>
      <c r="J439">
        <f>'Feuille saisie commune'!$E$11</f>
        <v>0</v>
      </c>
      <c r="K439">
        <f>'Feuille saisie commune'!$E$11</f>
        <v>0</v>
      </c>
      <c r="L439">
        <f>'Feuille saisie commune'!$E$11</f>
        <v>0</v>
      </c>
      <c r="M439">
        <f>'Feuille saisie commune'!$E$11</f>
        <v>0</v>
      </c>
      <c r="N439">
        <f>'Feuille saisie commune'!$E$11</f>
        <v>0</v>
      </c>
      <c r="O439">
        <f>'Feuille saisie commune'!$E$11</f>
        <v>0</v>
      </c>
      <c r="P439" s="30"/>
    </row>
    <row r="440" spans="1:16" x14ac:dyDescent="0.25">
      <c r="A440" s="33" t="s">
        <v>204</v>
      </c>
      <c r="B440" t="s">
        <v>288</v>
      </c>
      <c r="C440" s="33" t="s">
        <v>205</v>
      </c>
      <c r="D440" s="28">
        <f>'Saisie 2_bovins'!G30/(365.25/12)</f>
        <v>0</v>
      </c>
      <c r="E440" s="28">
        <f>'Saisie 2_bovins'!H30/(365.25/12)</f>
        <v>0</v>
      </c>
      <c r="F440" s="28">
        <f>'Saisie 2_bovins'!I30/(365.25/12)</f>
        <v>0</v>
      </c>
      <c r="G440" s="28">
        <f>'Saisie 2_bovins'!J30/(365.25/12)</f>
        <v>0</v>
      </c>
      <c r="H440" s="28">
        <f>'Saisie 2_bovins'!K30/(365.25/12)</f>
        <v>0</v>
      </c>
      <c r="I440" s="28">
        <f>'Saisie 2_bovins'!L30/(365.25/12)</f>
        <v>0</v>
      </c>
      <c r="J440" s="28">
        <f>'Saisie 2_bovins'!M30/(365.25/12)</f>
        <v>0</v>
      </c>
      <c r="K440" s="28">
        <f>'Saisie 2_bovins'!N30/(365.25/12)</f>
        <v>0</v>
      </c>
      <c r="L440" s="28">
        <f>'Saisie 2_bovins'!O30/(365.25/12)</f>
        <v>0</v>
      </c>
      <c r="M440" s="28">
        <f>'Saisie 2_bovins'!P30/(365.25/12)</f>
        <v>0</v>
      </c>
      <c r="N440" s="28">
        <f>'Saisie 2_bovins'!Q30/(365.25/12)</f>
        <v>0</v>
      </c>
      <c r="O440" s="28">
        <f>'Saisie 2_bovins'!R30/(365.25/12)</f>
        <v>0</v>
      </c>
      <c r="P440" s="30"/>
    </row>
    <row r="441" spans="1:16" x14ac:dyDescent="0.25">
      <c r="A441" s="33" t="s">
        <v>207</v>
      </c>
      <c r="B441" t="s">
        <v>332</v>
      </c>
      <c r="C441" t="s">
        <v>213</v>
      </c>
      <c r="D441" s="60">
        <f>D430*D$440*D$439</f>
        <v>0</v>
      </c>
      <c r="E441" s="60">
        <f t="shared" ref="E441:O441" si="171">E430*E$440*E$439</f>
        <v>0</v>
      </c>
      <c r="F441" s="60">
        <f t="shared" si="171"/>
        <v>0</v>
      </c>
      <c r="G441" s="60">
        <f t="shared" si="171"/>
        <v>0</v>
      </c>
      <c r="H441" s="60">
        <f t="shared" si="171"/>
        <v>0</v>
      </c>
      <c r="I441" s="60">
        <f t="shared" si="171"/>
        <v>0</v>
      </c>
      <c r="J441" s="60">
        <f t="shared" si="171"/>
        <v>0</v>
      </c>
      <c r="K441" s="60">
        <f t="shared" si="171"/>
        <v>0</v>
      </c>
      <c r="L441" s="60">
        <f t="shared" si="171"/>
        <v>0</v>
      </c>
      <c r="M441" s="60">
        <f t="shared" si="171"/>
        <v>0</v>
      </c>
      <c r="N441" s="60">
        <f t="shared" si="171"/>
        <v>0</v>
      </c>
      <c r="O441" s="60">
        <f t="shared" si="171"/>
        <v>0</v>
      </c>
      <c r="P441" s="30"/>
    </row>
    <row r="442" spans="1:16" x14ac:dyDescent="0.25">
      <c r="A442" s="33" t="s">
        <v>209</v>
      </c>
      <c r="B442" t="s">
        <v>333</v>
      </c>
      <c r="C442" t="s">
        <v>214</v>
      </c>
      <c r="D442" s="60">
        <f t="shared" ref="D442:O443" si="172">D431*D$440*D$439</f>
        <v>0</v>
      </c>
      <c r="E442" s="60">
        <f t="shared" si="172"/>
        <v>0</v>
      </c>
      <c r="F442" s="60">
        <f t="shared" si="172"/>
        <v>0</v>
      </c>
      <c r="G442" s="60">
        <f t="shared" si="172"/>
        <v>0</v>
      </c>
      <c r="H442" s="60">
        <f t="shared" si="172"/>
        <v>0</v>
      </c>
      <c r="I442" s="60">
        <f t="shared" si="172"/>
        <v>0</v>
      </c>
      <c r="J442" s="60">
        <f t="shared" si="172"/>
        <v>0</v>
      </c>
      <c r="K442" s="60">
        <f t="shared" si="172"/>
        <v>0</v>
      </c>
      <c r="L442" s="60">
        <f t="shared" si="172"/>
        <v>0</v>
      </c>
      <c r="M442" s="60">
        <f t="shared" si="172"/>
        <v>0</v>
      </c>
      <c r="N442" s="60">
        <f t="shared" si="172"/>
        <v>0</v>
      </c>
      <c r="O442" s="60">
        <f t="shared" si="172"/>
        <v>0</v>
      </c>
      <c r="P442" s="30"/>
    </row>
    <row r="443" spans="1:16" x14ac:dyDescent="0.25">
      <c r="A443" s="33" t="s">
        <v>208</v>
      </c>
      <c r="B443" t="s">
        <v>334</v>
      </c>
      <c r="C443" t="s">
        <v>215</v>
      </c>
      <c r="D443" s="60">
        <f t="shared" si="172"/>
        <v>0</v>
      </c>
      <c r="E443" s="60">
        <f t="shared" si="172"/>
        <v>0</v>
      </c>
      <c r="F443" s="60">
        <f t="shared" si="172"/>
        <v>0</v>
      </c>
      <c r="G443" s="60">
        <f t="shared" si="172"/>
        <v>0</v>
      </c>
      <c r="H443" s="60">
        <f t="shared" si="172"/>
        <v>0</v>
      </c>
      <c r="I443" s="60">
        <f t="shared" si="172"/>
        <v>0</v>
      </c>
      <c r="J443" s="60">
        <f t="shared" si="172"/>
        <v>0</v>
      </c>
      <c r="K443" s="60">
        <f t="shared" si="172"/>
        <v>0</v>
      </c>
      <c r="L443" s="60">
        <f t="shared" si="172"/>
        <v>0</v>
      </c>
      <c r="M443" s="60">
        <f t="shared" si="172"/>
        <v>0</v>
      </c>
      <c r="N443" s="60">
        <f t="shared" si="172"/>
        <v>0</v>
      </c>
      <c r="O443" s="60">
        <f t="shared" si="172"/>
        <v>0</v>
      </c>
      <c r="P443" s="30"/>
    </row>
    <row r="444" spans="1:16" x14ac:dyDescent="0.25">
      <c r="P444" s="30"/>
    </row>
    <row r="445" spans="1:16" x14ac:dyDescent="0.25">
      <c r="A445" s="42" t="s">
        <v>265</v>
      </c>
      <c r="B445" s="42"/>
      <c r="C445" s="42" t="s">
        <v>335</v>
      </c>
      <c r="D445">
        <f>'Feuille saisie commune'!G11</f>
        <v>0</v>
      </c>
      <c r="P445" s="30"/>
    </row>
    <row r="446" spans="1:16" x14ac:dyDescent="0.25">
      <c r="A446" s="33" t="s">
        <v>262</v>
      </c>
      <c r="B446" t="s">
        <v>336</v>
      </c>
      <c r="C446" s="47" t="s">
        <v>263</v>
      </c>
      <c r="D446">
        <f>$D445*D439*D440*(365.25/12)</f>
        <v>0</v>
      </c>
      <c r="E446">
        <f t="shared" ref="E446:O446" si="173">$D445*E439*E440*(365.25/12)</f>
        <v>0</v>
      </c>
      <c r="F446">
        <f t="shared" si="173"/>
        <v>0</v>
      </c>
      <c r="G446">
        <f t="shared" si="173"/>
        <v>0</v>
      </c>
      <c r="H446">
        <f t="shared" si="173"/>
        <v>0</v>
      </c>
      <c r="I446">
        <f t="shared" si="173"/>
        <v>0</v>
      </c>
      <c r="J446">
        <f t="shared" si="173"/>
        <v>0</v>
      </c>
      <c r="K446">
        <f t="shared" si="173"/>
        <v>0</v>
      </c>
      <c r="L446">
        <f t="shared" si="173"/>
        <v>0</v>
      </c>
      <c r="M446">
        <f t="shared" si="173"/>
        <v>0</v>
      </c>
      <c r="N446">
        <f t="shared" si="173"/>
        <v>0</v>
      </c>
      <c r="O446">
        <f t="shared" si="173"/>
        <v>0</v>
      </c>
      <c r="P446" s="30"/>
    </row>
    <row r="447" spans="1:16" x14ac:dyDescent="0.25">
      <c r="A447" s="33" t="s">
        <v>267</v>
      </c>
      <c r="B447" t="s">
        <v>270</v>
      </c>
      <c r="C447" t="s">
        <v>246</v>
      </c>
      <c r="D447" s="60">
        <f>D446*param_bovins!$D$160*param_bovins!$A$160/1000</f>
        <v>0</v>
      </c>
      <c r="E447" s="60">
        <f>E446*param_bovins!$D$160*param_bovins!$A$160/1000</f>
        <v>0</v>
      </c>
      <c r="F447" s="60">
        <f>F446*param_bovins!$D$160*param_bovins!$A$160/1000</f>
        <v>0</v>
      </c>
      <c r="G447" s="60">
        <f>G446*param_bovins!$D$160*param_bovins!$A$160/1000</f>
        <v>0</v>
      </c>
      <c r="H447" s="60">
        <f>H446*param_bovins!$D$160*param_bovins!$A$160/1000</f>
        <v>0</v>
      </c>
      <c r="I447" s="60">
        <f>I446*param_bovins!$D$160*param_bovins!$A$160/1000</f>
        <v>0</v>
      </c>
      <c r="J447" s="60">
        <f>J446*param_bovins!$D$160*param_bovins!$A$160/1000</f>
        <v>0</v>
      </c>
      <c r="K447" s="60">
        <f>K446*param_bovins!$D$160*param_bovins!$A$160/1000</f>
        <v>0</v>
      </c>
      <c r="L447" s="60">
        <f>L446*param_bovins!$D$160*param_bovins!$A$160/1000</f>
        <v>0</v>
      </c>
      <c r="M447" s="60">
        <f>M446*param_bovins!$D$160*param_bovins!$A$160/1000</f>
        <v>0</v>
      </c>
      <c r="N447" s="60">
        <f>N446*param_bovins!$D$160*param_bovins!$A$160/1000</f>
        <v>0</v>
      </c>
      <c r="O447" s="60">
        <f>O446*param_bovins!$D$160*param_bovins!$A$160/1000</f>
        <v>0</v>
      </c>
      <c r="P447" s="30"/>
    </row>
    <row r="448" spans="1:16" x14ac:dyDescent="0.25">
      <c r="A448" s="33" t="s">
        <v>268</v>
      </c>
      <c r="B448" s="33"/>
      <c r="C448" t="s">
        <v>249</v>
      </c>
      <c r="D448">
        <f>D446*param_bovins!$D$160*param_bovins!$B$160/1000</f>
        <v>0</v>
      </c>
      <c r="E448">
        <f>E446*param_bovins!$D$160*param_bovins!$B$160/1000</f>
        <v>0</v>
      </c>
      <c r="F448">
        <f>F446*param_bovins!$D$160*param_bovins!$B$160/1000</f>
        <v>0</v>
      </c>
      <c r="G448">
        <f>G446*param_bovins!$D$160*param_bovins!$B$160/1000</f>
        <v>0</v>
      </c>
      <c r="H448">
        <f>H446*param_bovins!$D$160*param_bovins!$B$160/1000</f>
        <v>0</v>
      </c>
      <c r="I448">
        <f>I446*param_bovins!$D$160*param_bovins!$B$160/1000</f>
        <v>0</v>
      </c>
      <c r="J448">
        <f>J446*param_bovins!$D$160*param_bovins!$B$160/1000</f>
        <v>0</v>
      </c>
      <c r="K448">
        <f>K446*param_bovins!$D$160*param_bovins!$B$160/1000</f>
        <v>0</v>
      </c>
      <c r="L448">
        <f>L446*param_bovins!$D$160*param_bovins!$B$160/1000</f>
        <v>0</v>
      </c>
      <c r="M448">
        <f>M446*param_bovins!$D$160*param_bovins!$B$160/1000</f>
        <v>0</v>
      </c>
      <c r="N448">
        <f>N446*param_bovins!$D$160*param_bovins!$B$160/1000</f>
        <v>0</v>
      </c>
      <c r="O448">
        <f>O446*param_bovins!$D$160*param_bovins!$B$160/1000</f>
        <v>0</v>
      </c>
      <c r="P448" s="30"/>
    </row>
    <row r="449" spans="1:16" x14ac:dyDescent="0.25">
      <c r="A449" s="33" t="s">
        <v>269</v>
      </c>
      <c r="B449" s="33"/>
      <c r="C449" t="s">
        <v>271</v>
      </c>
      <c r="D449" s="60">
        <f>D446*param_bovins!$D$160*param_bovins!$C$160/1000</f>
        <v>0</v>
      </c>
      <c r="E449" s="60">
        <f>E446*param_bovins!$D$160*param_bovins!$C$160/1000</f>
        <v>0</v>
      </c>
      <c r="F449" s="60">
        <f>F446*param_bovins!$D$160*param_bovins!$C$160/1000</f>
        <v>0</v>
      </c>
      <c r="G449" s="60">
        <f>G446*param_bovins!$D$160*param_bovins!$C$160/1000</f>
        <v>0</v>
      </c>
      <c r="H449" s="60">
        <f>H446*param_bovins!$D$160*param_bovins!$C$160/1000</f>
        <v>0</v>
      </c>
      <c r="I449" s="60">
        <f>I446*param_bovins!$D$160*param_bovins!$C$160/1000</f>
        <v>0</v>
      </c>
      <c r="J449" s="60">
        <f>J446*param_bovins!$D$160*param_bovins!$C$160/1000</f>
        <v>0</v>
      </c>
      <c r="K449" s="60">
        <f>K446*param_bovins!$D$160*param_bovins!$C$160/1000</f>
        <v>0</v>
      </c>
      <c r="L449" s="60">
        <f>L446*param_bovins!$D$160*param_bovins!$C$160/1000</f>
        <v>0</v>
      </c>
      <c r="M449" s="60">
        <f>M446*param_bovins!$D$160*param_bovins!$C$160/1000</f>
        <v>0</v>
      </c>
      <c r="N449" s="60">
        <f>N446*param_bovins!$D$160*param_bovins!$C$160/1000</f>
        <v>0</v>
      </c>
      <c r="O449" s="60">
        <f>O446*param_bovins!$D$160*param_bovins!$C$160/1000</f>
        <v>0</v>
      </c>
      <c r="P449" s="30"/>
    </row>
    <row r="450" spans="1:16" x14ac:dyDescent="0.25">
      <c r="A450" s="33"/>
      <c r="B450" s="33"/>
      <c r="P450" s="30"/>
    </row>
    <row r="451" spans="1:16" x14ac:dyDescent="0.25">
      <c r="A451" s="9" t="s">
        <v>5</v>
      </c>
      <c r="B451" s="9"/>
      <c r="C451" s="9"/>
      <c r="D451" t="str">
        <f>'Feuille saisie commune'!F11</f>
        <v>Pente paillée</v>
      </c>
      <c r="P451" s="30"/>
    </row>
    <row r="452" spans="1:16" x14ac:dyDescent="0.25">
      <c r="A452" s="9"/>
      <c r="B452" s="9"/>
      <c r="C452" s="9"/>
      <c r="P452" s="30"/>
    </row>
    <row r="453" spans="1:16" x14ac:dyDescent="0.25">
      <c r="A453" t="s">
        <v>242</v>
      </c>
      <c r="C453" t="s">
        <v>205</v>
      </c>
      <c r="D453">
        <f>IF(D451="Logette, lisier",param_bovins!B107,IF(D451="Etable entravée, lisier",param_bovins!B108,IF(D451="Litière accumulée, couloir lisier",param_bovins!B109,IF(D451="Logette, mixte lisier/fumier",param_bovins!B110,IF(D451="Etable entravée, fumier",param_bovins!B111,IF(D451="Pente paillée",param_bovins!B112,IF(D451="Logette, fumier",param_bovins!B113,IF(D451=param_bovins!A114,param_bovins!B114,IF(D451=param_bovins!A115,param_bovins!B115,#N/A)))))))))</f>
        <v>0</v>
      </c>
      <c r="P453" s="30"/>
    </row>
    <row r="454" spans="1:16" x14ac:dyDescent="0.25">
      <c r="A454" t="s">
        <v>243</v>
      </c>
      <c r="C454" t="s">
        <v>205</v>
      </c>
      <c r="D454">
        <f>IF(D451="Logette, lisier",param_bovins!C107,IF(D451="Etable entravée, lisier",param_bovins!C108,IF(D451="Litière accumulée, couloir lisier",param_bovins!C109,IF(D451="Logette, mixte lisier/fumier",param_bovins!C110,IF(D451="Etable entravée, fumier",param_bovins!C111,IF(D451="Pente paillée",param_bovins!C112,IF(D451="Logette, fumier",param_bovins!C113,IF(D451=param_bovins!A114,param_bovins!C114,IF(D451=param_bovins!A115,param_bovins!C115,#N/A)))))))))</f>
        <v>1</v>
      </c>
      <c r="P454" s="30"/>
    </row>
    <row r="455" spans="1:16" x14ac:dyDescent="0.25">
      <c r="A455" t="s">
        <v>244</v>
      </c>
      <c r="B455" s="33"/>
      <c r="C455" t="s">
        <v>205</v>
      </c>
      <c r="D455">
        <f>IF(D451="Logette, mixte lisier/fumier",param_bovins!D66,IF(D451="Etable entravée, fumier",param_bovins!D67,IF(D451="Pente paillée",param_bovins!D68,IF(D451="Logette, fumier",param_bovins!D69,IF(D451=param_bovins!A70,param_bovins!D70,0)))))</f>
        <v>0.04</v>
      </c>
      <c r="P455" s="30"/>
    </row>
    <row r="456" spans="1:16" x14ac:dyDescent="0.25">
      <c r="A456" s="9" t="s">
        <v>294</v>
      </c>
      <c r="B456" s="9"/>
      <c r="C456" s="9" t="s">
        <v>50</v>
      </c>
      <c r="D456">
        <f>IF(D451=param_bovins!A109,param_bovins!F109,IF(D451=param_bovins!A110,param_bovins!F110,IF(D451=param_bovins!A111,param_bovins!F111,IF(D451=param_bovins!A112,param_bovins!F112,IF(D451=param_bovins!A113,param_bovins!F113,IF(D451=param_bovins!A114,param_bovins!F114,IF(D451=param_bovins!A115,param_bovins!F115,0)))))))</f>
        <v>0.75</v>
      </c>
      <c r="P456" s="30"/>
    </row>
    <row r="457" spans="1:16" x14ac:dyDescent="0.25">
      <c r="A457" t="s">
        <v>152</v>
      </c>
      <c r="B457" s="33"/>
      <c r="C457" t="s">
        <v>732</v>
      </c>
      <c r="D457" s="33">
        <f>IF(D451="Logette, lisier",param_bovins!G107,IF(D451="Etable entravée, lisier",param_bovins!G108,IF(D451="Litière accumulée, couloir lisier",param_bovins!G109,IF(D451="Logette, mixte lisier/fumier",param_bovins!G110,IF(D451="Etable entravée, fumier",param_bovins!G111,IF(D451="Pente paillée",param_bovins!G112,IF(D451="Logette, fumier",param_bovins!G113,IF(D451=param_bovins!A114,param_bovins!G114,IF(D451=param_bovins!A115,param_bovins!G115,#N/A)))))))))</f>
        <v>15</v>
      </c>
      <c r="P457" s="30"/>
    </row>
    <row r="458" spans="1:16" x14ac:dyDescent="0.25">
      <c r="A458" s="33" t="s">
        <v>734</v>
      </c>
      <c r="B458" s="33"/>
      <c r="C458" t="s">
        <v>205</v>
      </c>
      <c r="D458" s="33">
        <f>IF(D451="Logette, mixte lisier/fumier",IF('Saisie 2_bovins'!C44="couverte", param_bovins!H66, param_bovins!I66), IF(D451="Etable entravée, fumier",IF('Saisie 2_bovins'!C44="couverte",param_bovins!H67,param_bovins!I67),IF(D451="Pente paillée",IF('Saisie 2_bovins'!C44="couverte",param_bovins!H68,param_bovins!I68),IF(D451="Logette, fumier",IF('Saisie 2_bovins'!C44="couverte",param_bovins!H69, param_bovins!I69),IF(D451=param_bovins!A70,IF('Saisie 2_bovins'!C44="couverte",param_bovins!H70,param_bovins!I70),IF(D451=param_bovins!A71,IF('Saisie 2_bovins'!C44="couverte",param_bovins!H71,param_bovins!I71),IF(D451=param_bovins!A65,IF('Saisie 2_bovins'!C44="couverte",param_bovins!H65,param_bovins!I65),0)))))))</f>
        <v>0.03</v>
      </c>
      <c r="P458" s="30"/>
    </row>
    <row r="459" spans="1:16" x14ac:dyDescent="0.25">
      <c r="A459" s="33" t="s">
        <v>735</v>
      </c>
      <c r="B459" s="33"/>
      <c r="C459" t="s">
        <v>205</v>
      </c>
      <c r="D459" s="33">
        <f>IF(D451="Logette, mixte lisier/fumier",IF('Saisie 2_bovins'!C44="couverte", param_bovins!J66, param_bovins!K66), IF(D451="Etable entravée, fumier",IF('Saisie 2_bovins'!C44="couverte",param_bovins!J67,param_bovins!K67),IF(D451="Pente paillée",IF('Saisie 2_bovins'!C44="couverte",param_bovins!J68,param_bovins!K68),IF(D451="Logette, fumier",IF('Saisie 2_bovins'!C44="couverte",param_bovins!J69, param_bovins!K69),IF(D451=param_bovins!A70,IF('Saisie 2_bovins'!C44="couverte",param_bovins!J70,param_bovins!K70),IF(D451=param_bovins!A71,IF('Saisie 2_bovins'!C44="couverte",param_bovins!J71,param_bovins!K71),IF(D451=param_bovins!A65,IF('Saisie 2_bovins'!C44="couverte",param_bovins!J65,param_bovins!K65),0)))))))</f>
        <v>2.7E-2</v>
      </c>
      <c r="P459" s="30"/>
    </row>
    <row r="460" spans="1:16" x14ac:dyDescent="0.25">
      <c r="A460" s="33" t="s">
        <v>736</v>
      </c>
      <c r="B460" s="33"/>
      <c r="C460" t="s">
        <v>205</v>
      </c>
      <c r="D460" s="33">
        <f>IF(D451="Logette, mixte lisier/fumier",IF('Saisie 2_bovins'!C44="couverte", param_bovins!L66, param_bovins!M66), IF(D451="Etable entravée, fumier",IF('Saisie 2_bovins'!C44="couverte",param_bovins!L67,param_bovins!M67),IF(D451="Pente paillée",IF('Saisie 2_bovins'!C44="couverte",param_bovins!L68,param_bovins!M68),IF(D451="Logette, fumier",IF('Saisie 2_bovins'!C44="couverte",param_bovins!L69, param_bovins!M69),IF(D451=param_bovins!A70,IF('Saisie 2_bovins'!C44="couverte",param_bovins!L70,param_bovins!M70),IF(D451=param_bovins!A71,IF('Saisie 2_bovins'!C44="couverte",param_bovins!L71,param_bovins!M71),IF(D451=param_bovins!A65,IF('Saisie 2_bovins'!C44="couverte",param_bovins!L65,param_bovins!M65),0)))))))</f>
        <v>3.3000000000000002E-2</v>
      </c>
      <c r="P460" s="30"/>
    </row>
    <row r="461" spans="1:16" x14ac:dyDescent="0.25">
      <c r="A461" t="s">
        <v>782</v>
      </c>
      <c r="B461" s="33"/>
      <c r="C461" t="s">
        <v>783</v>
      </c>
      <c r="D461" s="33">
        <f>IF(D451=param_bovins!A109,param_bovins!N109,IF(D451=param_bovins!A110,param_bovins!N110,IF(D451=param_bovins!A111,param_bovins!N111,IF(D451=param_bovins!A112,param_bovins!N112,IF(D451=param_bovins!A113,param_bovins!N113,IF(D451=param_bovins!A114,param_bovins!N114,IF(D451=param_bovins!A115,param_bovins!N115,0)))))))</f>
        <v>18.2</v>
      </c>
      <c r="P461" s="30"/>
    </row>
    <row r="462" spans="1:16" x14ac:dyDescent="0.25">
      <c r="B462" s="33"/>
      <c r="C462" s="33"/>
      <c r="P462" s="30"/>
    </row>
    <row r="463" spans="1:16" x14ac:dyDescent="0.25">
      <c r="A463" t="s">
        <v>220</v>
      </c>
      <c r="B463" s="33" t="s">
        <v>227</v>
      </c>
      <c r="C463" t="s">
        <v>337</v>
      </c>
      <c r="D463" s="60">
        <f>param_bovins!D12*D453</f>
        <v>0</v>
      </c>
      <c r="P463" s="30"/>
    </row>
    <row r="464" spans="1:16" x14ac:dyDescent="0.25">
      <c r="A464" t="s">
        <v>221</v>
      </c>
      <c r="B464" t="s">
        <v>226</v>
      </c>
      <c r="C464" t="s">
        <v>337</v>
      </c>
      <c r="D464" s="60">
        <f>IF(D456=0,0,param_bovins!B10*D457*Calculs_bovins!D454/Calculs_bovins!D456)</f>
        <v>6</v>
      </c>
      <c r="G464" s="61">
        <f>D464*D456</f>
        <v>4.5</v>
      </c>
      <c r="H464" s="9" t="s">
        <v>303</v>
      </c>
      <c r="P464" s="30"/>
    </row>
    <row r="465" spans="1:17" x14ac:dyDescent="0.25">
      <c r="A465" t="s">
        <v>222</v>
      </c>
      <c r="B465" t="s">
        <v>228</v>
      </c>
      <c r="C465" t="s">
        <v>337</v>
      </c>
      <c r="D465" s="60">
        <f>D464*D455</f>
        <v>0.24</v>
      </c>
      <c r="P465" s="30"/>
    </row>
    <row r="466" spans="1:17" x14ac:dyDescent="0.25">
      <c r="P466" s="30"/>
    </row>
    <row r="467" spans="1:17" x14ac:dyDescent="0.25">
      <c r="A467" t="s">
        <v>353</v>
      </c>
      <c r="B467" t="s">
        <v>349</v>
      </c>
      <c r="C467" t="s">
        <v>205</v>
      </c>
      <c r="D467">
        <f>IF('Saisie 2_bovins'!$D$30&gt;=param_bovins!$A$136,param_bovins!$B$136,IF('Saisie 2_bovins'!$D$30&gt;=param_bovins!$A$137,param_bovins!$B$137,param_bovins!$B$138))</f>
        <v>0.7</v>
      </c>
      <c r="E467">
        <f>IF('Saisie 2_bovins'!$D$30&gt;=param_bovins!$A$136,param_bovins!$B$136,IF('Saisie 2_bovins'!$D$30&gt;=param_bovins!$A$137,param_bovins!$B$137,param_bovins!$B$138))</f>
        <v>0.7</v>
      </c>
      <c r="F467">
        <f>IF('Saisie 2_bovins'!$D$30&gt;=param_bovins!$A$136,param_bovins!$B$136,IF('Saisie 2_bovins'!$D$30&gt;=param_bovins!$A$137,param_bovins!$B$137,param_bovins!$B$138))</f>
        <v>0.7</v>
      </c>
      <c r="G467">
        <f>IF('Saisie 2_bovins'!$D$30&gt;=param_bovins!$A$136,param_bovins!$B$136,IF('Saisie 2_bovins'!$D$30&gt;=param_bovins!$A$137,param_bovins!$B$137,param_bovins!$B$138))</f>
        <v>0.7</v>
      </c>
      <c r="H467">
        <f>IF('Saisie 2_bovins'!$D$30&gt;=param_bovins!$A$136,param_bovins!$B$136,IF('Saisie 2_bovins'!$D$30&gt;=param_bovins!$A$137,param_bovins!$B$137,param_bovins!$B$138))</f>
        <v>0.7</v>
      </c>
      <c r="I467">
        <f>IF('Saisie 2_bovins'!$D$30&gt;=param_bovins!$A$136,param_bovins!$B$136,IF('Saisie 2_bovins'!$D$30&gt;=param_bovins!$A$137,param_bovins!$B$137,param_bovins!$B$138))</f>
        <v>0.7</v>
      </c>
      <c r="J467">
        <f>IF('Saisie 2_bovins'!$D$30&gt;=param_bovins!$A$136,param_bovins!$B$136,IF('Saisie 2_bovins'!$D$30&gt;=param_bovins!$A$137,param_bovins!$B$137,param_bovins!$B$138))</f>
        <v>0.7</v>
      </c>
      <c r="K467">
        <f>IF('Saisie 2_bovins'!$D$30&gt;=param_bovins!$A$136,param_bovins!$B$136,IF('Saisie 2_bovins'!$D$30&gt;=param_bovins!$A$137,param_bovins!$B$137,param_bovins!$B$138))</f>
        <v>0.7</v>
      </c>
      <c r="L467">
        <f>IF('Saisie 2_bovins'!$D$30&gt;=param_bovins!$A$136,param_bovins!$B$136,IF('Saisie 2_bovins'!$D$30&gt;=param_bovins!$A$137,param_bovins!$B$137,param_bovins!$B$138))</f>
        <v>0.7</v>
      </c>
      <c r="M467">
        <f>IF('Saisie 2_bovins'!$D$30&gt;=param_bovins!$A$136,param_bovins!$B$136,IF('Saisie 2_bovins'!$D$30&gt;=param_bovins!$A$137,param_bovins!$B$137,param_bovins!$B$138))</f>
        <v>0.7</v>
      </c>
      <c r="N467">
        <f>IF('Saisie 2_bovins'!$D$30&gt;=param_bovins!$A$136,param_bovins!$B$136,IF('Saisie 2_bovins'!$D$30&gt;=param_bovins!$A$137,param_bovins!$B$137,param_bovins!$B$138))</f>
        <v>0.7</v>
      </c>
      <c r="O467">
        <f>IF('Saisie 2_bovins'!$D$30&gt;=param_bovins!$A$136,param_bovins!$B$136,IF('Saisie 2_bovins'!$D$30&gt;=param_bovins!$A$137,param_bovins!$B$137,param_bovins!$B$138))</f>
        <v>0.7</v>
      </c>
      <c r="P467" s="30"/>
    </row>
    <row r="468" spans="1:17" x14ac:dyDescent="0.25">
      <c r="P468" s="30"/>
    </row>
    <row r="469" spans="1:17" x14ac:dyDescent="0.25">
      <c r="A469" s="33" t="s">
        <v>210</v>
      </c>
      <c r="B469" s="33" t="s">
        <v>340</v>
      </c>
      <c r="C469" t="s">
        <v>341</v>
      </c>
      <c r="D469" s="60">
        <f>$D463*D$467/12</f>
        <v>0</v>
      </c>
      <c r="E469" s="60">
        <f t="shared" ref="E469:O469" si="174">$D463*E$467/12</f>
        <v>0</v>
      </c>
      <c r="F469" s="60">
        <f t="shared" si="174"/>
        <v>0</v>
      </c>
      <c r="G469" s="60">
        <f t="shared" si="174"/>
        <v>0</v>
      </c>
      <c r="H469" s="60">
        <f t="shared" si="174"/>
        <v>0</v>
      </c>
      <c r="I469" s="60">
        <f t="shared" si="174"/>
        <v>0</v>
      </c>
      <c r="J469" s="60">
        <f t="shared" si="174"/>
        <v>0</v>
      </c>
      <c r="K469" s="60">
        <f t="shared" si="174"/>
        <v>0</v>
      </c>
      <c r="L469" s="60">
        <f t="shared" si="174"/>
        <v>0</v>
      </c>
      <c r="M469" s="60">
        <f t="shared" si="174"/>
        <v>0</v>
      </c>
      <c r="N469" s="60">
        <f t="shared" si="174"/>
        <v>0</v>
      </c>
      <c r="O469" s="60">
        <f t="shared" si="174"/>
        <v>0</v>
      </c>
      <c r="P469" s="30"/>
    </row>
    <row r="470" spans="1:17" x14ac:dyDescent="0.25">
      <c r="A470" s="33" t="s">
        <v>211</v>
      </c>
      <c r="B470" s="33" t="s">
        <v>340</v>
      </c>
      <c r="C470" t="s">
        <v>341</v>
      </c>
      <c r="D470" s="60">
        <f>$D464*D$467/12</f>
        <v>0.34999999999999992</v>
      </c>
      <c r="E470" s="60">
        <f t="shared" ref="E470:O470" si="175">$D464*E$467/12</f>
        <v>0.34999999999999992</v>
      </c>
      <c r="F470" s="60">
        <f t="shared" si="175"/>
        <v>0.34999999999999992</v>
      </c>
      <c r="G470" s="60">
        <f t="shared" si="175"/>
        <v>0.34999999999999992</v>
      </c>
      <c r="H470" s="60">
        <f t="shared" si="175"/>
        <v>0.34999999999999992</v>
      </c>
      <c r="I470" s="60">
        <f t="shared" si="175"/>
        <v>0.34999999999999992</v>
      </c>
      <c r="J470" s="60">
        <f t="shared" si="175"/>
        <v>0.34999999999999992</v>
      </c>
      <c r="K470" s="60">
        <f t="shared" si="175"/>
        <v>0.34999999999999992</v>
      </c>
      <c r="L470" s="60">
        <f t="shared" si="175"/>
        <v>0.34999999999999992</v>
      </c>
      <c r="M470" s="60">
        <f t="shared" si="175"/>
        <v>0.34999999999999992</v>
      </c>
      <c r="N470" s="60">
        <f t="shared" si="175"/>
        <v>0.34999999999999992</v>
      </c>
      <c r="O470" s="60">
        <f t="shared" si="175"/>
        <v>0.34999999999999992</v>
      </c>
      <c r="P470" s="30"/>
    </row>
    <row r="471" spans="1:17" x14ac:dyDescent="0.25">
      <c r="A471" s="33" t="s">
        <v>212</v>
      </c>
      <c r="B471" t="s">
        <v>362</v>
      </c>
      <c r="C471" t="s">
        <v>341</v>
      </c>
      <c r="D471" s="60">
        <f>$D$465*D467/12</f>
        <v>1.3999999999999999E-2</v>
      </c>
      <c r="E471" s="60">
        <f>$D$465*E467/12</f>
        <v>1.3999999999999999E-2</v>
      </c>
      <c r="F471" s="60">
        <f t="shared" ref="F471:O471" si="176">$D$465*F467/12</f>
        <v>1.3999999999999999E-2</v>
      </c>
      <c r="G471" s="60">
        <f t="shared" si="176"/>
        <v>1.3999999999999999E-2</v>
      </c>
      <c r="H471" s="60">
        <f t="shared" si="176"/>
        <v>1.3999999999999999E-2</v>
      </c>
      <c r="I471" s="60">
        <f t="shared" si="176"/>
        <v>1.3999999999999999E-2</v>
      </c>
      <c r="J471" s="60">
        <f t="shared" si="176"/>
        <v>1.3999999999999999E-2</v>
      </c>
      <c r="K471" s="60">
        <f t="shared" si="176"/>
        <v>1.3999999999999999E-2</v>
      </c>
      <c r="L471" s="60">
        <f t="shared" si="176"/>
        <v>1.3999999999999999E-2</v>
      </c>
      <c r="M471" s="60">
        <f t="shared" si="176"/>
        <v>1.3999999999999999E-2</v>
      </c>
      <c r="N471" s="60">
        <f t="shared" si="176"/>
        <v>1.3999999999999999E-2</v>
      </c>
      <c r="O471" s="60">
        <f t="shared" si="176"/>
        <v>1.3999999999999999E-2</v>
      </c>
      <c r="P471" s="30" t="s">
        <v>361</v>
      </c>
    </row>
    <row r="472" spans="1:17" s="9" customFormat="1" x14ac:dyDescent="0.25">
      <c r="A472" s="9" t="s">
        <v>152</v>
      </c>
      <c r="C472" s="9" t="s">
        <v>342</v>
      </c>
      <c r="D472" s="61">
        <f>D470*$D$456</f>
        <v>0.26249999999999996</v>
      </c>
      <c r="E472" s="61">
        <f t="shared" ref="E472:O472" si="177">E470*$D$456</f>
        <v>0.26249999999999996</v>
      </c>
      <c r="F472" s="61">
        <f t="shared" si="177"/>
        <v>0.26249999999999996</v>
      </c>
      <c r="G472" s="61">
        <f t="shared" si="177"/>
        <v>0.26249999999999996</v>
      </c>
      <c r="H472" s="61">
        <f t="shared" si="177"/>
        <v>0.26249999999999996</v>
      </c>
      <c r="I472" s="61">
        <f t="shared" si="177"/>
        <v>0.26249999999999996</v>
      </c>
      <c r="J472" s="61">
        <f t="shared" si="177"/>
        <v>0.26249999999999996</v>
      </c>
      <c r="K472" s="61">
        <f t="shared" si="177"/>
        <v>0.26249999999999996</v>
      </c>
      <c r="L472" s="61">
        <f t="shared" si="177"/>
        <v>0.26249999999999996</v>
      </c>
      <c r="M472" s="61">
        <f t="shared" si="177"/>
        <v>0.26249999999999996</v>
      </c>
      <c r="N472" s="61">
        <f t="shared" si="177"/>
        <v>0.26249999999999996</v>
      </c>
      <c r="O472" s="61">
        <f t="shared" si="177"/>
        <v>0.26249999999999996</v>
      </c>
      <c r="P472" s="79"/>
    </row>
    <row r="473" spans="1:17" x14ac:dyDescent="0.25">
      <c r="A473" s="33"/>
      <c r="B473" s="33"/>
      <c r="C473" s="33"/>
      <c r="P473" s="30"/>
    </row>
    <row r="474" spans="1:17" x14ac:dyDescent="0.25">
      <c r="A474" t="s">
        <v>210</v>
      </c>
      <c r="B474" t="s">
        <v>343</v>
      </c>
      <c r="C474" t="s">
        <v>229</v>
      </c>
      <c r="D474" s="60">
        <f>$D469*D$440*D$439</f>
        <v>0</v>
      </c>
      <c r="E474" s="60">
        <f t="shared" ref="E474:O474" si="178">$D469*E$440*E$439</f>
        <v>0</v>
      </c>
      <c r="F474" s="60">
        <f t="shared" si="178"/>
        <v>0</v>
      </c>
      <c r="G474" s="60">
        <f t="shared" si="178"/>
        <v>0</v>
      </c>
      <c r="H474" s="60">
        <f t="shared" si="178"/>
        <v>0</v>
      </c>
      <c r="I474" s="60">
        <f t="shared" si="178"/>
        <v>0</v>
      </c>
      <c r="J474" s="60">
        <f t="shared" si="178"/>
        <v>0</v>
      </c>
      <c r="K474" s="60">
        <f t="shared" si="178"/>
        <v>0</v>
      </c>
      <c r="L474" s="60">
        <f t="shared" si="178"/>
        <v>0</v>
      </c>
      <c r="M474" s="60">
        <f t="shared" si="178"/>
        <v>0</v>
      </c>
      <c r="N474" s="60">
        <f t="shared" si="178"/>
        <v>0</v>
      </c>
      <c r="O474" s="60">
        <f t="shared" si="178"/>
        <v>0</v>
      </c>
      <c r="P474" s="30"/>
    </row>
    <row r="475" spans="1:17" x14ac:dyDescent="0.25">
      <c r="A475" t="s">
        <v>211</v>
      </c>
      <c r="B475" t="s">
        <v>343</v>
      </c>
      <c r="C475" t="s">
        <v>229</v>
      </c>
      <c r="D475" s="60">
        <f>$D470*D$440*D$439</f>
        <v>0</v>
      </c>
      <c r="E475" s="60">
        <f t="shared" ref="E475:O475" si="179">$D470*E$440*E$439</f>
        <v>0</v>
      </c>
      <c r="F475" s="60">
        <f t="shared" si="179"/>
        <v>0</v>
      </c>
      <c r="G475" s="60">
        <f t="shared" si="179"/>
        <v>0</v>
      </c>
      <c r="H475" s="60">
        <f t="shared" si="179"/>
        <v>0</v>
      </c>
      <c r="I475" s="60">
        <f t="shared" si="179"/>
        <v>0</v>
      </c>
      <c r="J475" s="60">
        <f t="shared" si="179"/>
        <v>0</v>
      </c>
      <c r="K475" s="60">
        <f t="shared" si="179"/>
        <v>0</v>
      </c>
      <c r="L475" s="60">
        <f t="shared" si="179"/>
        <v>0</v>
      </c>
      <c r="M475" s="60">
        <f t="shared" si="179"/>
        <v>0</v>
      </c>
      <c r="N475" s="60">
        <f t="shared" si="179"/>
        <v>0</v>
      </c>
      <c r="O475" s="60">
        <f t="shared" si="179"/>
        <v>0</v>
      </c>
      <c r="P475" s="30"/>
    </row>
    <row r="476" spans="1:17" x14ac:dyDescent="0.25">
      <c r="A476" t="s">
        <v>212</v>
      </c>
      <c r="B476" t="s">
        <v>343</v>
      </c>
      <c r="C476" t="s">
        <v>229</v>
      </c>
      <c r="D476" s="60">
        <f>$D471*D$440*D$439</f>
        <v>0</v>
      </c>
      <c r="E476" s="60">
        <f t="shared" ref="E476:O476" si="180">$D471*E$440*E$439</f>
        <v>0</v>
      </c>
      <c r="F476" s="60">
        <f t="shared" si="180"/>
        <v>0</v>
      </c>
      <c r="G476" s="60">
        <f t="shared" si="180"/>
        <v>0</v>
      </c>
      <c r="H476" s="60">
        <f t="shared" si="180"/>
        <v>0</v>
      </c>
      <c r="I476" s="60">
        <f t="shared" si="180"/>
        <v>0</v>
      </c>
      <c r="J476" s="60">
        <f t="shared" si="180"/>
        <v>0</v>
      </c>
      <c r="K476" s="60">
        <f t="shared" si="180"/>
        <v>0</v>
      </c>
      <c r="L476" s="60">
        <f t="shared" si="180"/>
        <v>0</v>
      </c>
      <c r="M476" s="60">
        <f t="shared" si="180"/>
        <v>0</v>
      </c>
      <c r="N476" s="60">
        <f t="shared" si="180"/>
        <v>0</v>
      </c>
      <c r="O476" s="60">
        <f t="shared" si="180"/>
        <v>0</v>
      </c>
      <c r="P476" s="30"/>
    </row>
    <row r="477" spans="1:17" x14ac:dyDescent="0.25">
      <c r="P477" s="30"/>
    </row>
    <row r="478" spans="1:17" x14ac:dyDescent="0.25">
      <c r="A478" s="44" t="s">
        <v>237</v>
      </c>
      <c r="B478" s="44" t="s">
        <v>344</v>
      </c>
      <c r="C478" s="44" t="s">
        <v>239</v>
      </c>
      <c r="D478" s="63">
        <f t="shared" ref="D478:O478" si="181">D472*D440*D439</f>
        <v>0</v>
      </c>
      <c r="E478" s="63">
        <f t="shared" si="181"/>
        <v>0</v>
      </c>
      <c r="F478" s="63">
        <f t="shared" si="181"/>
        <v>0</v>
      </c>
      <c r="G478" s="63">
        <f t="shared" si="181"/>
        <v>0</v>
      </c>
      <c r="H478" s="63">
        <f t="shared" si="181"/>
        <v>0</v>
      </c>
      <c r="I478" s="63">
        <f t="shared" si="181"/>
        <v>0</v>
      </c>
      <c r="J478" s="63">
        <f t="shared" si="181"/>
        <v>0</v>
      </c>
      <c r="K478" s="63">
        <f t="shared" si="181"/>
        <v>0</v>
      </c>
      <c r="L478" s="63">
        <f>L472*L440*L439</f>
        <v>0</v>
      </c>
      <c r="M478" s="63">
        <f t="shared" si="181"/>
        <v>0</v>
      </c>
      <c r="N478" s="63">
        <f t="shared" si="181"/>
        <v>0</v>
      </c>
      <c r="O478" s="63">
        <f t="shared" si="181"/>
        <v>0</v>
      </c>
      <c r="P478" s="31"/>
      <c r="Q478" s="63"/>
    </row>
    <row r="479" spans="1:17" x14ac:dyDescent="0.25">
      <c r="A479" s="44" t="s">
        <v>245</v>
      </c>
      <c r="B479" s="44"/>
      <c r="C479" s="44" t="s">
        <v>229</v>
      </c>
      <c r="D479" s="63">
        <f>D476+D474</f>
        <v>0</v>
      </c>
      <c r="E479" s="63">
        <f t="shared" ref="E479:O479" si="182">E476+E474</f>
        <v>0</v>
      </c>
      <c r="F479" s="63">
        <f t="shared" si="182"/>
        <v>0</v>
      </c>
      <c r="G479" s="63">
        <f t="shared" si="182"/>
        <v>0</v>
      </c>
      <c r="H479" s="63">
        <f t="shared" si="182"/>
        <v>0</v>
      </c>
      <c r="I479" s="63">
        <f t="shared" si="182"/>
        <v>0</v>
      </c>
      <c r="J479" s="63">
        <f t="shared" si="182"/>
        <v>0</v>
      </c>
      <c r="K479" s="63">
        <f t="shared" si="182"/>
        <v>0</v>
      </c>
      <c r="L479" s="63">
        <f t="shared" si="182"/>
        <v>0</v>
      </c>
      <c r="M479" s="63">
        <f t="shared" si="182"/>
        <v>0</v>
      </c>
      <c r="N479" s="63">
        <f t="shared" si="182"/>
        <v>0</v>
      </c>
      <c r="O479" s="63">
        <f t="shared" si="182"/>
        <v>0</v>
      </c>
      <c r="P479" s="30"/>
    </row>
    <row r="480" spans="1:17" x14ac:dyDescent="0.25">
      <c r="A480" s="44"/>
      <c r="B480" s="44"/>
      <c r="C480" s="44"/>
      <c r="P480" s="30"/>
    </row>
    <row r="481" spans="1:16" x14ac:dyDescent="0.25">
      <c r="A481" s="9" t="s">
        <v>241</v>
      </c>
      <c r="B481" s="9" t="s">
        <v>240</v>
      </c>
      <c r="C481" s="9" t="s">
        <v>246</v>
      </c>
      <c r="D481" s="60">
        <f>(D441+D447)*$D$453</f>
        <v>0</v>
      </c>
      <c r="E481" s="60">
        <f t="shared" ref="E481:O481" si="183">(E441+E447)*$D$453</f>
        <v>0</v>
      </c>
      <c r="F481" s="60">
        <f t="shared" si="183"/>
        <v>0</v>
      </c>
      <c r="G481" s="60">
        <f t="shared" si="183"/>
        <v>0</v>
      </c>
      <c r="H481" s="60">
        <f t="shared" si="183"/>
        <v>0</v>
      </c>
      <c r="I481" s="60">
        <f t="shared" si="183"/>
        <v>0</v>
      </c>
      <c r="J481" s="60">
        <f t="shared" si="183"/>
        <v>0</v>
      </c>
      <c r="K481" s="60">
        <f t="shared" si="183"/>
        <v>0</v>
      </c>
      <c r="L481" s="60">
        <f t="shared" si="183"/>
        <v>0</v>
      </c>
      <c r="M481" s="60">
        <f t="shared" si="183"/>
        <v>0</v>
      </c>
      <c r="N481" s="60">
        <f t="shared" si="183"/>
        <v>0</v>
      </c>
      <c r="O481" s="60">
        <f t="shared" si="183"/>
        <v>0</v>
      </c>
      <c r="P481" s="30"/>
    </row>
    <row r="482" spans="1:16" x14ac:dyDescent="0.25">
      <c r="A482" s="9" t="s">
        <v>247</v>
      </c>
      <c r="B482" s="9" t="s">
        <v>248</v>
      </c>
      <c r="C482" s="9" t="s">
        <v>249</v>
      </c>
      <c r="D482" s="60">
        <f t="shared" ref="D482:O483" si="184">(D442+D448)*$D$453</f>
        <v>0</v>
      </c>
      <c r="E482" s="60">
        <f t="shared" si="184"/>
        <v>0</v>
      </c>
      <c r="F482" s="60">
        <f t="shared" si="184"/>
        <v>0</v>
      </c>
      <c r="G482" s="60">
        <f t="shared" si="184"/>
        <v>0</v>
      </c>
      <c r="H482" s="60">
        <f t="shared" si="184"/>
        <v>0</v>
      </c>
      <c r="I482" s="60">
        <f t="shared" si="184"/>
        <v>0</v>
      </c>
      <c r="J482" s="60">
        <f t="shared" si="184"/>
        <v>0</v>
      </c>
      <c r="K482" s="60">
        <f t="shared" si="184"/>
        <v>0</v>
      </c>
      <c r="L482" s="60">
        <f t="shared" si="184"/>
        <v>0</v>
      </c>
      <c r="M482" s="60">
        <f t="shared" si="184"/>
        <v>0</v>
      </c>
      <c r="N482" s="60">
        <f t="shared" si="184"/>
        <v>0</v>
      </c>
      <c r="O482" s="60">
        <f t="shared" si="184"/>
        <v>0</v>
      </c>
      <c r="P482" s="30"/>
    </row>
    <row r="483" spans="1:16" x14ac:dyDescent="0.25">
      <c r="A483" s="9" t="s">
        <v>250</v>
      </c>
      <c r="B483" s="9" t="s">
        <v>251</v>
      </c>
      <c r="C483" s="9" t="s">
        <v>252</v>
      </c>
      <c r="D483" s="60">
        <f t="shared" si="184"/>
        <v>0</v>
      </c>
      <c r="E483" s="60">
        <f t="shared" si="184"/>
        <v>0</v>
      </c>
      <c r="F483" s="60">
        <f t="shared" si="184"/>
        <v>0</v>
      </c>
      <c r="G483" s="60">
        <f t="shared" si="184"/>
        <v>0</v>
      </c>
      <c r="H483" s="60">
        <f t="shared" si="184"/>
        <v>0</v>
      </c>
      <c r="I483" s="60">
        <f t="shared" si="184"/>
        <v>0</v>
      </c>
      <c r="J483" s="60">
        <f t="shared" si="184"/>
        <v>0</v>
      </c>
      <c r="K483" s="60">
        <f t="shared" si="184"/>
        <v>0</v>
      </c>
      <c r="L483" s="60">
        <f t="shared" si="184"/>
        <v>0</v>
      </c>
      <c r="M483" s="60">
        <f t="shared" si="184"/>
        <v>0</v>
      </c>
      <c r="N483" s="60">
        <f t="shared" si="184"/>
        <v>0</v>
      </c>
      <c r="O483" s="60">
        <f t="shared" si="184"/>
        <v>0</v>
      </c>
      <c r="P483" s="30"/>
    </row>
    <row r="484" spans="1:16" x14ac:dyDescent="0.25">
      <c r="A484" s="9"/>
      <c r="B484" s="9"/>
      <c r="C484" s="9"/>
      <c r="P484" s="30"/>
    </row>
    <row r="485" spans="1:16" x14ac:dyDescent="0.25">
      <c r="A485" s="9" t="s">
        <v>253</v>
      </c>
      <c r="B485" s="9" t="s">
        <v>306</v>
      </c>
      <c r="C485" s="9" t="s">
        <v>246</v>
      </c>
      <c r="D485" s="60">
        <f>(D441+D447)*$D$454</f>
        <v>0</v>
      </c>
      <c r="E485" s="60">
        <f t="shared" ref="E485:O485" si="185">(E441+E447)*$D$454</f>
        <v>0</v>
      </c>
      <c r="F485" s="60">
        <f t="shared" si="185"/>
        <v>0</v>
      </c>
      <c r="G485" s="60">
        <f t="shared" si="185"/>
        <v>0</v>
      </c>
      <c r="H485" s="60">
        <f t="shared" si="185"/>
        <v>0</v>
      </c>
      <c r="I485" s="60">
        <f t="shared" si="185"/>
        <v>0</v>
      </c>
      <c r="J485" s="60">
        <f t="shared" si="185"/>
        <v>0</v>
      </c>
      <c r="K485" s="60">
        <f t="shared" si="185"/>
        <v>0</v>
      </c>
      <c r="L485" s="60">
        <f t="shared" si="185"/>
        <v>0</v>
      </c>
      <c r="M485" s="60">
        <f t="shared" si="185"/>
        <v>0</v>
      </c>
      <c r="N485" s="60">
        <f t="shared" si="185"/>
        <v>0</v>
      </c>
      <c r="O485" s="60">
        <f t="shared" si="185"/>
        <v>0</v>
      </c>
      <c r="P485" s="30"/>
    </row>
    <row r="486" spans="1:16" x14ac:dyDescent="0.25">
      <c r="A486" s="9" t="s">
        <v>254</v>
      </c>
      <c r="B486" s="9" t="s">
        <v>307</v>
      </c>
      <c r="C486" s="9" t="s">
        <v>249</v>
      </c>
      <c r="D486" s="60">
        <f t="shared" ref="D486:O487" si="186">(D442+D448)*$D$454</f>
        <v>0</v>
      </c>
      <c r="E486" s="60">
        <f t="shared" si="186"/>
        <v>0</v>
      </c>
      <c r="F486" s="60">
        <f t="shared" si="186"/>
        <v>0</v>
      </c>
      <c r="G486" s="60">
        <f t="shared" si="186"/>
        <v>0</v>
      </c>
      <c r="H486" s="60">
        <f t="shared" si="186"/>
        <v>0</v>
      </c>
      <c r="I486" s="60">
        <f t="shared" si="186"/>
        <v>0</v>
      </c>
      <c r="J486" s="60">
        <f t="shared" si="186"/>
        <v>0</v>
      </c>
      <c r="K486" s="60">
        <f t="shared" si="186"/>
        <v>0</v>
      </c>
      <c r="L486" s="60">
        <f t="shared" si="186"/>
        <v>0</v>
      </c>
      <c r="M486" s="60">
        <f t="shared" si="186"/>
        <v>0</v>
      </c>
      <c r="N486" s="60">
        <f t="shared" si="186"/>
        <v>0</v>
      </c>
      <c r="O486" s="60">
        <f t="shared" si="186"/>
        <v>0</v>
      </c>
      <c r="P486" s="30"/>
    </row>
    <row r="487" spans="1:16" x14ac:dyDescent="0.25">
      <c r="A487" s="9" t="s">
        <v>255</v>
      </c>
      <c r="B487" s="9" t="s">
        <v>308</v>
      </c>
      <c r="C487" s="9" t="s">
        <v>252</v>
      </c>
      <c r="D487" s="60">
        <f t="shared" si="186"/>
        <v>0</v>
      </c>
      <c r="E487" s="60">
        <f t="shared" si="186"/>
        <v>0</v>
      </c>
      <c r="F487" s="60">
        <f t="shared" si="186"/>
        <v>0</v>
      </c>
      <c r="G487" s="60">
        <f t="shared" si="186"/>
        <v>0</v>
      </c>
      <c r="H487" s="60">
        <f t="shared" si="186"/>
        <v>0</v>
      </c>
      <c r="I487" s="60">
        <f t="shared" si="186"/>
        <v>0</v>
      </c>
      <c r="J487" s="60">
        <f t="shared" si="186"/>
        <v>0</v>
      </c>
      <c r="K487" s="60">
        <f t="shared" si="186"/>
        <v>0</v>
      </c>
      <c r="L487" s="60">
        <f t="shared" si="186"/>
        <v>0</v>
      </c>
      <c r="M487" s="60">
        <f t="shared" si="186"/>
        <v>0</v>
      </c>
      <c r="N487" s="60">
        <f t="shared" si="186"/>
        <v>0</v>
      </c>
      <c r="O487" s="60">
        <f t="shared" si="186"/>
        <v>0</v>
      </c>
      <c r="P487" s="30"/>
    </row>
    <row r="488" spans="1:16" x14ac:dyDescent="0.25">
      <c r="A488" s="9"/>
      <c r="B488" s="9"/>
      <c r="C488" s="9"/>
      <c r="D488" s="60"/>
      <c r="E488" s="60"/>
      <c r="F488" s="60"/>
      <c r="G488" s="60"/>
      <c r="H488" s="60"/>
      <c r="I488" s="60"/>
      <c r="J488" s="60"/>
      <c r="K488" s="60"/>
      <c r="L488" s="60"/>
      <c r="M488" s="60"/>
      <c r="N488" s="60"/>
      <c r="O488" s="60"/>
      <c r="P488" s="30"/>
    </row>
    <row r="489" spans="1:16" x14ac:dyDescent="0.25">
      <c r="A489" s="9" t="s">
        <v>256</v>
      </c>
      <c r="B489" s="9" t="s">
        <v>737</v>
      </c>
      <c r="C489" s="9" t="s">
        <v>246</v>
      </c>
      <c r="D489" s="34">
        <f>D485*$D458</f>
        <v>0</v>
      </c>
      <c r="E489" s="34">
        <f t="shared" ref="E489:O489" si="187">E485*$D458</f>
        <v>0</v>
      </c>
      <c r="F489" s="34">
        <f t="shared" si="187"/>
        <v>0</v>
      </c>
      <c r="G489" s="34">
        <f t="shared" si="187"/>
        <v>0</v>
      </c>
      <c r="H489" s="34">
        <f t="shared" si="187"/>
        <v>0</v>
      </c>
      <c r="I489" s="34">
        <f t="shared" si="187"/>
        <v>0</v>
      </c>
      <c r="J489" s="34">
        <f t="shared" si="187"/>
        <v>0</v>
      </c>
      <c r="K489" s="34">
        <f t="shared" si="187"/>
        <v>0</v>
      </c>
      <c r="L489" s="34">
        <f t="shared" si="187"/>
        <v>0</v>
      </c>
      <c r="M489" s="34">
        <f t="shared" si="187"/>
        <v>0</v>
      </c>
      <c r="N489" s="34">
        <f t="shared" si="187"/>
        <v>0</v>
      </c>
      <c r="O489" s="34">
        <f t="shared" si="187"/>
        <v>0</v>
      </c>
      <c r="P489" s="30"/>
    </row>
    <row r="490" spans="1:16" x14ac:dyDescent="0.25">
      <c r="A490" s="9" t="s">
        <v>257</v>
      </c>
      <c r="B490" s="9" t="s">
        <v>738</v>
      </c>
      <c r="C490" s="9" t="s">
        <v>249</v>
      </c>
      <c r="D490" s="34">
        <f>D486*$D459</f>
        <v>0</v>
      </c>
      <c r="E490" s="34">
        <f t="shared" ref="E490:O490" si="188">E486*$D459</f>
        <v>0</v>
      </c>
      <c r="F490" s="34">
        <f t="shared" si="188"/>
        <v>0</v>
      </c>
      <c r="G490" s="34">
        <f t="shared" si="188"/>
        <v>0</v>
      </c>
      <c r="H490" s="34">
        <f t="shared" si="188"/>
        <v>0</v>
      </c>
      <c r="I490" s="34">
        <f t="shared" si="188"/>
        <v>0</v>
      </c>
      <c r="J490" s="34">
        <f t="shared" si="188"/>
        <v>0</v>
      </c>
      <c r="K490" s="34">
        <f t="shared" si="188"/>
        <v>0</v>
      </c>
      <c r="L490" s="34">
        <f t="shared" si="188"/>
        <v>0</v>
      </c>
      <c r="M490" s="34">
        <f t="shared" si="188"/>
        <v>0</v>
      </c>
      <c r="N490" s="34">
        <f t="shared" si="188"/>
        <v>0</v>
      </c>
      <c r="O490" s="34">
        <f t="shared" si="188"/>
        <v>0</v>
      </c>
      <c r="P490" s="30"/>
    </row>
    <row r="491" spans="1:16" x14ac:dyDescent="0.25">
      <c r="A491" s="9" t="s">
        <v>258</v>
      </c>
      <c r="B491" s="9" t="s">
        <v>739</v>
      </c>
      <c r="C491" s="9" t="s">
        <v>252</v>
      </c>
      <c r="D491" s="34">
        <f>D487*$D460</f>
        <v>0</v>
      </c>
      <c r="E491" s="34">
        <f t="shared" ref="E491:O491" si="189">E487*$D460</f>
        <v>0</v>
      </c>
      <c r="F491" s="34">
        <f t="shared" si="189"/>
        <v>0</v>
      </c>
      <c r="G491" s="34">
        <f t="shared" si="189"/>
        <v>0</v>
      </c>
      <c r="H491" s="34">
        <f t="shared" si="189"/>
        <v>0</v>
      </c>
      <c r="I491" s="34">
        <f t="shared" si="189"/>
        <v>0</v>
      </c>
      <c r="J491" s="34">
        <f t="shared" si="189"/>
        <v>0</v>
      </c>
      <c r="K491" s="34">
        <f t="shared" si="189"/>
        <v>0</v>
      </c>
      <c r="L491" s="34">
        <f t="shared" si="189"/>
        <v>0</v>
      </c>
      <c r="M491" s="34">
        <f t="shared" si="189"/>
        <v>0</v>
      </c>
      <c r="N491" s="34">
        <f t="shared" si="189"/>
        <v>0</v>
      </c>
      <c r="O491" s="34">
        <f t="shared" si="189"/>
        <v>0</v>
      </c>
      <c r="P491" s="30"/>
    </row>
    <row r="492" spans="1:16" x14ac:dyDescent="0.25">
      <c r="A492" s="9"/>
      <c r="B492" s="9"/>
      <c r="C492" s="9"/>
      <c r="D492" s="73"/>
      <c r="E492" s="73"/>
      <c r="F492" s="73"/>
      <c r="G492" s="73"/>
      <c r="H492" s="73"/>
      <c r="I492" s="73"/>
      <c r="J492" s="73"/>
      <c r="K492" s="73"/>
      <c r="L492" s="73"/>
      <c r="M492" s="73"/>
      <c r="N492" s="73"/>
      <c r="O492" s="73"/>
      <c r="P492" s="30"/>
    </row>
    <row r="493" spans="1:16" x14ac:dyDescent="0.25">
      <c r="A493" s="9" t="s">
        <v>740</v>
      </c>
      <c r="B493" s="9" t="s">
        <v>743</v>
      </c>
      <c r="C493" s="9" t="s">
        <v>246</v>
      </c>
      <c r="D493" s="34">
        <f>D485-D489</f>
        <v>0</v>
      </c>
      <c r="E493" s="34">
        <f t="shared" ref="E493:O493" si="190">E485-E489</f>
        <v>0</v>
      </c>
      <c r="F493" s="34">
        <f t="shared" si="190"/>
        <v>0</v>
      </c>
      <c r="G493" s="34">
        <f t="shared" si="190"/>
        <v>0</v>
      </c>
      <c r="H493" s="34">
        <f t="shared" si="190"/>
        <v>0</v>
      </c>
      <c r="I493" s="34">
        <f t="shared" si="190"/>
        <v>0</v>
      </c>
      <c r="J493" s="34">
        <f t="shared" si="190"/>
        <v>0</v>
      </c>
      <c r="K493" s="34">
        <f t="shared" si="190"/>
        <v>0</v>
      </c>
      <c r="L493" s="34">
        <f t="shared" si="190"/>
        <v>0</v>
      </c>
      <c r="M493" s="34">
        <f t="shared" si="190"/>
        <v>0</v>
      </c>
      <c r="N493" s="34">
        <f t="shared" si="190"/>
        <v>0</v>
      </c>
      <c r="O493" s="34">
        <f t="shared" si="190"/>
        <v>0</v>
      </c>
      <c r="P493" s="30"/>
    </row>
    <row r="494" spans="1:16" x14ac:dyDescent="0.25">
      <c r="A494" s="9" t="s">
        <v>741</v>
      </c>
      <c r="B494" s="9" t="s">
        <v>744</v>
      </c>
      <c r="C494" s="9" t="s">
        <v>249</v>
      </c>
      <c r="D494" s="34">
        <f t="shared" ref="D494:O495" si="191">D486-D490</f>
        <v>0</v>
      </c>
      <c r="E494" s="34">
        <f t="shared" si="191"/>
        <v>0</v>
      </c>
      <c r="F494" s="34">
        <f t="shared" si="191"/>
        <v>0</v>
      </c>
      <c r="G494" s="34">
        <f t="shared" si="191"/>
        <v>0</v>
      </c>
      <c r="H494" s="34">
        <f t="shared" si="191"/>
        <v>0</v>
      </c>
      <c r="I494" s="34">
        <f t="shared" si="191"/>
        <v>0</v>
      </c>
      <c r="J494" s="34">
        <f t="shared" si="191"/>
        <v>0</v>
      </c>
      <c r="K494" s="34">
        <f t="shared" si="191"/>
        <v>0</v>
      </c>
      <c r="L494" s="34">
        <f t="shared" si="191"/>
        <v>0</v>
      </c>
      <c r="M494" s="34">
        <f t="shared" si="191"/>
        <v>0</v>
      </c>
      <c r="N494" s="34">
        <f t="shared" si="191"/>
        <v>0</v>
      </c>
      <c r="O494" s="34">
        <f t="shared" si="191"/>
        <v>0</v>
      </c>
      <c r="P494" s="30"/>
    </row>
    <row r="495" spans="1:16" x14ac:dyDescent="0.25">
      <c r="A495" s="9" t="s">
        <v>742</v>
      </c>
      <c r="B495" s="9" t="s">
        <v>745</v>
      </c>
      <c r="C495" s="9" t="s">
        <v>252</v>
      </c>
      <c r="D495" s="34">
        <f t="shared" si="191"/>
        <v>0</v>
      </c>
      <c r="E495" s="34">
        <f t="shared" si="191"/>
        <v>0</v>
      </c>
      <c r="F495" s="34">
        <f t="shared" si="191"/>
        <v>0</v>
      </c>
      <c r="G495" s="34">
        <f t="shared" si="191"/>
        <v>0</v>
      </c>
      <c r="H495" s="34">
        <f t="shared" si="191"/>
        <v>0</v>
      </c>
      <c r="I495" s="34">
        <f t="shared" si="191"/>
        <v>0</v>
      </c>
      <c r="J495" s="34">
        <f t="shared" si="191"/>
        <v>0</v>
      </c>
      <c r="K495" s="34">
        <f t="shared" si="191"/>
        <v>0</v>
      </c>
      <c r="L495" s="34">
        <f t="shared" si="191"/>
        <v>0</v>
      </c>
      <c r="M495" s="34">
        <f t="shared" si="191"/>
        <v>0</v>
      </c>
      <c r="N495" s="34">
        <f t="shared" si="191"/>
        <v>0</v>
      </c>
      <c r="O495" s="34">
        <f t="shared" si="191"/>
        <v>0</v>
      </c>
      <c r="P495" s="30"/>
    </row>
    <row r="496" spans="1:16" x14ac:dyDescent="0.25">
      <c r="D496" s="34"/>
      <c r="E496" s="34"/>
      <c r="F496" s="34"/>
      <c r="G496" s="34"/>
      <c r="H496" s="34"/>
      <c r="I496" s="34"/>
      <c r="J496" s="34"/>
      <c r="K496" s="34"/>
      <c r="L496" s="34"/>
      <c r="M496" s="34"/>
      <c r="N496" s="34"/>
      <c r="O496" s="34"/>
      <c r="P496" s="30"/>
    </row>
    <row r="497" spans="1:16" x14ac:dyDescent="0.25">
      <c r="A497" s="5" t="s">
        <v>259</v>
      </c>
      <c r="B497" s="9" t="s">
        <v>260</v>
      </c>
      <c r="C497" s="33"/>
      <c r="D497" s="73"/>
      <c r="E497" s="73"/>
      <c r="F497" s="73"/>
      <c r="G497" s="73"/>
      <c r="H497" s="73"/>
      <c r="I497" s="73"/>
      <c r="J497" s="73"/>
      <c r="K497" s="73"/>
      <c r="L497" s="73"/>
      <c r="M497" s="73"/>
      <c r="N497" s="73"/>
      <c r="O497" s="73"/>
      <c r="P497" s="30"/>
    </row>
    <row r="498" spans="1:16" x14ac:dyDescent="0.25">
      <c r="A498" s="5" t="s">
        <v>58</v>
      </c>
      <c r="B498" s="44" t="s">
        <v>261</v>
      </c>
      <c r="C498" s="5" t="s">
        <v>233</v>
      </c>
      <c r="D498" s="70">
        <f>IF(D$479&lt;=0,0,(D481+D489)/D$479)</f>
        <v>0</v>
      </c>
      <c r="E498" s="70">
        <f t="shared" ref="E498:O498" si="192">IF(E$479&lt;=0,0,(E481+E489)/E$479)</f>
        <v>0</v>
      </c>
      <c r="F498" s="70">
        <f t="shared" si="192"/>
        <v>0</v>
      </c>
      <c r="G498" s="70">
        <f t="shared" si="192"/>
        <v>0</v>
      </c>
      <c r="H498" s="70">
        <f t="shared" si="192"/>
        <v>0</v>
      </c>
      <c r="I498" s="70">
        <f t="shared" si="192"/>
        <v>0</v>
      </c>
      <c r="J498" s="70">
        <f t="shared" si="192"/>
        <v>0</v>
      </c>
      <c r="K498" s="70">
        <f t="shared" si="192"/>
        <v>0</v>
      </c>
      <c r="L498" s="70">
        <f t="shared" si="192"/>
        <v>0</v>
      </c>
      <c r="M498" s="70">
        <f t="shared" si="192"/>
        <v>0</v>
      </c>
      <c r="N498" s="70">
        <f t="shared" si="192"/>
        <v>0</v>
      </c>
      <c r="O498" s="70">
        <f t="shared" si="192"/>
        <v>0</v>
      </c>
      <c r="P498" s="30"/>
    </row>
    <row r="499" spans="1:16" x14ac:dyDescent="0.25">
      <c r="A499" s="5" t="s">
        <v>59</v>
      </c>
      <c r="B499" s="5"/>
      <c r="C499" s="5" t="s">
        <v>234</v>
      </c>
      <c r="D499" s="70">
        <f>IF(D$479&lt;=0,0,(D482+D490)/D$479)</f>
        <v>0</v>
      </c>
      <c r="E499" s="70">
        <f t="shared" ref="E499:O499" si="193">IF(E$479&lt;=0,0,(E482+E490)/E$479)</f>
        <v>0</v>
      </c>
      <c r="F499" s="70">
        <f t="shared" si="193"/>
        <v>0</v>
      </c>
      <c r="G499" s="70">
        <f t="shared" si="193"/>
        <v>0</v>
      </c>
      <c r="H499" s="70">
        <f t="shared" si="193"/>
        <v>0</v>
      </c>
      <c r="I499" s="70">
        <f t="shared" si="193"/>
        <v>0</v>
      </c>
      <c r="J499" s="70">
        <f t="shared" si="193"/>
        <v>0</v>
      </c>
      <c r="K499" s="70">
        <f t="shared" si="193"/>
        <v>0</v>
      </c>
      <c r="L499" s="70">
        <f t="shared" si="193"/>
        <v>0</v>
      </c>
      <c r="M499" s="70">
        <f t="shared" si="193"/>
        <v>0</v>
      </c>
      <c r="N499" s="70">
        <f t="shared" si="193"/>
        <v>0</v>
      </c>
      <c r="O499" s="70">
        <f t="shared" si="193"/>
        <v>0</v>
      </c>
      <c r="P499" s="30"/>
    </row>
    <row r="500" spans="1:16" x14ac:dyDescent="0.25">
      <c r="A500" s="5" t="s">
        <v>60</v>
      </c>
      <c r="B500" s="5"/>
      <c r="C500" s="5" t="s">
        <v>235</v>
      </c>
      <c r="D500" s="70">
        <f>IF(D$479&lt;=0,0,(D483+D491)/D$479)</f>
        <v>0</v>
      </c>
      <c r="E500" s="70">
        <f t="shared" ref="E500:O500" si="194">IF(E$479&lt;=0,0,(E483+E491)/E$479)</f>
        <v>0</v>
      </c>
      <c r="F500" s="70">
        <f t="shared" si="194"/>
        <v>0</v>
      </c>
      <c r="G500" s="70">
        <f t="shared" si="194"/>
        <v>0</v>
      </c>
      <c r="H500" s="70">
        <f t="shared" si="194"/>
        <v>0</v>
      </c>
      <c r="I500" s="70">
        <f t="shared" si="194"/>
        <v>0</v>
      </c>
      <c r="J500" s="70">
        <f t="shared" si="194"/>
        <v>0</v>
      </c>
      <c r="K500" s="70">
        <f t="shared" si="194"/>
        <v>0</v>
      </c>
      <c r="L500" s="70">
        <f t="shared" si="194"/>
        <v>0</v>
      </c>
      <c r="M500" s="70">
        <f t="shared" si="194"/>
        <v>0</v>
      </c>
      <c r="N500" s="70">
        <f t="shared" si="194"/>
        <v>0</v>
      </c>
      <c r="O500" s="70">
        <f t="shared" si="194"/>
        <v>0</v>
      </c>
      <c r="P500" s="30"/>
    </row>
    <row r="501" spans="1:16" x14ac:dyDescent="0.25">
      <c r="A501" s="33"/>
      <c r="B501" s="33"/>
      <c r="C501" s="33"/>
      <c r="D501" s="70"/>
      <c r="E501" s="70"/>
      <c r="F501" s="70"/>
      <c r="G501" s="70"/>
      <c r="H501" s="70"/>
      <c r="I501" s="70"/>
      <c r="J501" s="70"/>
      <c r="K501" s="70"/>
      <c r="L501" s="70"/>
      <c r="M501" s="70"/>
      <c r="N501" s="70"/>
      <c r="O501" s="70"/>
      <c r="P501" s="30"/>
    </row>
    <row r="502" spans="1:16" x14ac:dyDescent="0.25">
      <c r="A502" s="5" t="s">
        <v>236</v>
      </c>
      <c r="B502" s="33"/>
      <c r="C502" s="33"/>
      <c r="D502" s="70"/>
      <c r="E502" s="70"/>
      <c r="F502" s="70"/>
      <c r="G502" s="70"/>
      <c r="H502" s="70"/>
      <c r="I502" s="70"/>
      <c r="J502" s="70"/>
      <c r="K502" s="70"/>
      <c r="L502" s="70"/>
      <c r="M502" s="70"/>
      <c r="N502" s="70"/>
      <c r="O502" s="70"/>
      <c r="P502" s="30"/>
    </row>
    <row r="503" spans="1:16" x14ac:dyDescent="0.25">
      <c r="A503" s="5" t="s">
        <v>58</v>
      </c>
      <c r="B503" s="5" t="s">
        <v>746</v>
      </c>
      <c r="C503" s="5" t="s">
        <v>275</v>
      </c>
      <c r="D503" s="70">
        <f>IF(D$478&lt;=0,0,D493/D$478)</f>
        <v>0</v>
      </c>
      <c r="E503" s="70">
        <f t="shared" ref="E503:O503" si="195">IF(E$478&lt;=0,0,E493/E$478)</f>
        <v>0</v>
      </c>
      <c r="F503" s="70">
        <f t="shared" si="195"/>
        <v>0</v>
      </c>
      <c r="G503" s="70">
        <f t="shared" si="195"/>
        <v>0</v>
      </c>
      <c r="H503" s="70">
        <f t="shared" si="195"/>
        <v>0</v>
      </c>
      <c r="I503" s="70">
        <f t="shared" si="195"/>
        <v>0</v>
      </c>
      <c r="J503" s="70">
        <f t="shared" si="195"/>
        <v>0</v>
      </c>
      <c r="K503" s="70">
        <f t="shared" si="195"/>
        <v>0</v>
      </c>
      <c r="L503" s="70">
        <f t="shared" si="195"/>
        <v>0</v>
      </c>
      <c r="M503" s="70">
        <f t="shared" si="195"/>
        <v>0</v>
      </c>
      <c r="N503" s="70">
        <f t="shared" si="195"/>
        <v>0</v>
      </c>
      <c r="O503" s="70">
        <f t="shared" si="195"/>
        <v>0</v>
      </c>
      <c r="P503" s="30" t="s">
        <v>747</v>
      </c>
    </row>
    <row r="504" spans="1:16" x14ac:dyDescent="0.25">
      <c r="A504" s="5" t="s">
        <v>59</v>
      </c>
      <c r="B504" s="5"/>
      <c r="C504" s="5" t="s">
        <v>276</v>
      </c>
      <c r="D504" s="70">
        <f>IF(D$478&lt;=0,0,D494/D$478)</f>
        <v>0</v>
      </c>
      <c r="E504" s="70">
        <f t="shared" ref="E504:O504" si="196">IF(E$478&lt;=0,0,E494/E$478)</f>
        <v>0</v>
      </c>
      <c r="F504" s="70">
        <f t="shared" si="196"/>
        <v>0</v>
      </c>
      <c r="G504" s="70">
        <f t="shared" si="196"/>
        <v>0</v>
      </c>
      <c r="H504" s="70">
        <f t="shared" si="196"/>
        <v>0</v>
      </c>
      <c r="I504" s="70">
        <f t="shared" si="196"/>
        <v>0</v>
      </c>
      <c r="J504" s="70">
        <f t="shared" si="196"/>
        <v>0</v>
      </c>
      <c r="K504" s="70">
        <f t="shared" si="196"/>
        <v>0</v>
      </c>
      <c r="L504" s="70">
        <f t="shared" si="196"/>
        <v>0</v>
      </c>
      <c r="M504" s="70">
        <f t="shared" si="196"/>
        <v>0</v>
      </c>
      <c r="N504" s="70">
        <f t="shared" si="196"/>
        <v>0</v>
      </c>
      <c r="O504" s="70">
        <f t="shared" si="196"/>
        <v>0</v>
      </c>
      <c r="P504" s="30"/>
    </row>
    <row r="505" spans="1:16" x14ac:dyDescent="0.25">
      <c r="A505" s="5" t="s">
        <v>60</v>
      </c>
      <c r="B505" s="5"/>
      <c r="C505" s="5" t="s">
        <v>277</v>
      </c>
      <c r="D505" s="70">
        <f>IF(D$478&lt;=0,0,D495/D$478)</f>
        <v>0</v>
      </c>
      <c r="E505" s="70">
        <f t="shared" ref="E505:O505" si="197">IF(E$478&lt;=0,0,E495/E$478)</f>
        <v>0</v>
      </c>
      <c r="F505" s="70">
        <f t="shared" si="197"/>
        <v>0</v>
      </c>
      <c r="G505" s="70">
        <f t="shared" si="197"/>
        <v>0</v>
      </c>
      <c r="H505" s="70">
        <f t="shared" si="197"/>
        <v>0</v>
      </c>
      <c r="I505" s="70">
        <f t="shared" si="197"/>
        <v>0</v>
      </c>
      <c r="J505" s="70">
        <f t="shared" si="197"/>
        <v>0</v>
      </c>
      <c r="K505" s="70">
        <f t="shared" si="197"/>
        <v>0</v>
      </c>
      <c r="L505" s="70">
        <f t="shared" si="197"/>
        <v>0</v>
      </c>
      <c r="M505" s="70">
        <f t="shared" si="197"/>
        <v>0</v>
      </c>
      <c r="N505" s="70">
        <f t="shared" si="197"/>
        <v>0</v>
      </c>
      <c r="O505" s="70">
        <f t="shared" si="197"/>
        <v>0</v>
      </c>
      <c r="P505" s="30"/>
    </row>
    <row r="506" spans="1:16" x14ac:dyDescent="0.25">
      <c r="P506" s="30"/>
    </row>
    <row r="507" spans="1:16" x14ac:dyDescent="0.25">
      <c r="A507" s="80" t="str">
        <f>param_bovins!B133</f>
        <v>Bovin à l'engrais (1 - 2 ans)</v>
      </c>
      <c r="B507" s="75"/>
      <c r="C507" s="75"/>
      <c r="D507" s="75" t="s">
        <v>132</v>
      </c>
      <c r="E507" s="75" t="s">
        <v>133</v>
      </c>
      <c r="F507" s="75" t="s">
        <v>134</v>
      </c>
      <c r="G507" s="75" t="s">
        <v>135</v>
      </c>
      <c r="H507" s="75" t="s">
        <v>136</v>
      </c>
      <c r="I507" s="75" t="s">
        <v>137</v>
      </c>
      <c r="J507" s="75" t="s">
        <v>138</v>
      </c>
      <c r="K507" s="75" t="s">
        <v>139</v>
      </c>
      <c r="L507" s="75" t="s">
        <v>140</v>
      </c>
      <c r="M507" s="75" t="s">
        <v>141</v>
      </c>
      <c r="N507" s="75" t="s">
        <v>142</v>
      </c>
      <c r="O507" s="75" t="s">
        <v>143</v>
      </c>
      <c r="P507" s="30"/>
    </row>
    <row r="508" spans="1:16" x14ac:dyDescent="0.25">
      <c r="A508" s="42" t="s">
        <v>280</v>
      </c>
      <c r="B508" s="42"/>
      <c r="C508" s="42"/>
      <c r="D508">
        <f>'Saisie 2_bovins'!G35</f>
        <v>0</v>
      </c>
      <c r="E508">
        <f>'Saisie 2_bovins'!H35</f>
        <v>0</v>
      </c>
      <c r="F508">
        <f>'Saisie 2_bovins'!I35</f>
        <v>0</v>
      </c>
      <c r="G508">
        <f>'Saisie 2_bovins'!J35</f>
        <v>0</v>
      </c>
      <c r="H508">
        <f>'Saisie 2_bovins'!K35</f>
        <v>0</v>
      </c>
      <c r="I508">
        <f>'Saisie 2_bovins'!L35</f>
        <v>0</v>
      </c>
      <c r="J508">
        <f>'Saisie 2_bovins'!M35</f>
        <v>0</v>
      </c>
      <c r="K508">
        <f>'Saisie 2_bovins'!N35</f>
        <v>0</v>
      </c>
      <c r="L508">
        <f>'Saisie 2_bovins'!O35</f>
        <v>0</v>
      </c>
      <c r="M508">
        <f>'Saisie 2_bovins'!P35</f>
        <v>0</v>
      </c>
      <c r="N508">
        <f>'Saisie 2_bovins'!Q35</f>
        <v>0</v>
      </c>
      <c r="O508">
        <f>'Saisie 2_bovins'!R35</f>
        <v>0</v>
      </c>
      <c r="P508" s="30"/>
    </row>
    <row r="509" spans="1:16" x14ac:dyDescent="0.25">
      <c r="A509" t="s">
        <v>151</v>
      </c>
      <c r="B509" t="s">
        <v>328</v>
      </c>
      <c r="C509" t="s">
        <v>312</v>
      </c>
      <c r="D509" s="74">
        <f>IF(D508=param_bovins!$A$143,param_bovins!$H$143*'Saisie 2_bovins'!$D$34+param_bovins!$I$143,IF(Calculs_bovins!D508=param_bovins!$A$144,param_bovins!$H$144*'Saisie 2_bovins'!$D$34+param_bovins!$I$144,IF(Calculs_bovins!D508=param_bovins!$A$145,param_bovins!$H$145*'Saisie 2_bovins'!$D$34+param_bovins!$I$145,IF(D508=param_bovins!$A$146,param_bovins!$H$146*'Saisie 2_bovins'!$D$34+param_bovins!$I$146,0))))</f>
        <v>0</v>
      </c>
      <c r="E509" s="74">
        <f>IF(E508=param_bovins!$A$143,param_bovins!$H$143*'Saisie 2_bovins'!$D$34+param_bovins!$I$143,IF(Calculs_bovins!E508=param_bovins!$A$144,param_bovins!$H$144*'Saisie 2_bovins'!$D$34+param_bovins!$I$144,IF(Calculs_bovins!E508=param_bovins!$A$145,param_bovins!$H$145*'Saisie 2_bovins'!$D$34+param_bovins!$I$145,IF(E508=param_bovins!$A$146,param_bovins!$H$146*'Saisie 2_bovins'!$D$34+param_bovins!$I$146,0))))</f>
        <v>0</v>
      </c>
      <c r="F509" s="74">
        <f>IF(F508=param_bovins!$A$143,param_bovins!$H$143*'Saisie 2_bovins'!$D$34+param_bovins!$I$143,IF(Calculs_bovins!F508=param_bovins!$A$144,param_bovins!$H$144*'Saisie 2_bovins'!$D$34+param_bovins!$I$144,IF(Calculs_bovins!F508=param_bovins!$A$145,param_bovins!$H$145*'Saisie 2_bovins'!$D$34+param_bovins!$I$145,IF(F508=param_bovins!$A$146,param_bovins!$H$146*'Saisie 2_bovins'!$D$34+param_bovins!$I$146,0))))</f>
        <v>0</v>
      </c>
      <c r="G509" s="74">
        <f>IF(G508=param_bovins!$A$143,param_bovins!$H$143*'Saisie 2_bovins'!$D$34+param_bovins!$I$143,IF(Calculs_bovins!G508=param_bovins!$A$144,param_bovins!$H$144*'Saisie 2_bovins'!$D$34+param_bovins!$I$144,IF(Calculs_bovins!G508=param_bovins!$A$145,param_bovins!$H$145*'Saisie 2_bovins'!$D$34+param_bovins!$I$145,IF(G508=param_bovins!$A$146,param_bovins!$H$146*'Saisie 2_bovins'!$D$34+param_bovins!$I$146,0))))</f>
        <v>0</v>
      </c>
      <c r="H509" s="74">
        <f>IF(H508=param_bovins!$A$143,param_bovins!$H$143*'Saisie 2_bovins'!$D$34+param_bovins!$I$143,IF(Calculs_bovins!H508=param_bovins!$A$144,param_bovins!$H$144*'Saisie 2_bovins'!$D$34+param_bovins!$I$144,IF(Calculs_bovins!H508=param_bovins!$A$145,param_bovins!$H$145*'Saisie 2_bovins'!$D$34+param_bovins!$I$145,IF(H508=param_bovins!$A$146,param_bovins!$H$146*'Saisie 2_bovins'!$D$34+param_bovins!$I$146,0))))</f>
        <v>0</v>
      </c>
      <c r="I509" s="74">
        <f>IF(I508=param_bovins!$A$143,param_bovins!$H$143*'Saisie 2_bovins'!$D$34+param_bovins!$I$143,IF(Calculs_bovins!I508=param_bovins!$A$144,param_bovins!$H$144*'Saisie 2_bovins'!$D$34+param_bovins!$I$144,IF(Calculs_bovins!I508=param_bovins!$A$145,param_bovins!$H$145*'Saisie 2_bovins'!$D$34+param_bovins!$I$145,IF(I508=param_bovins!$A$146,param_bovins!$H$146*'Saisie 2_bovins'!$D$34+param_bovins!$I$146,0))))</f>
        <v>0</v>
      </c>
      <c r="J509" s="74">
        <f>IF(J508=param_bovins!$A$143,param_bovins!$H$143*'Saisie 2_bovins'!$D$34+param_bovins!$I$143,IF(Calculs_bovins!J508=param_bovins!$A$144,param_bovins!$H$144*'Saisie 2_bovins'!$D$34+param_bovins!$I$144,IF(Calculs_bovins!J508=param_bovins!$A$145,param_bovins!$H$145*'Saisie 2_bovins'!$D$34+param_bovins!$I$145,IF(J508=param_bovins!$A$146,param_bovins!$H$146*'Saisie 2_bovins'!$D$34+param_bovins!$I$146,0))))</f>
        <v>0</v>
      </c>
      <c r="K509" s="74">
        <f>IF(K508=param_bovins!$A$143,param_bovins!$H$143*'Saisie 2_bovins'!$D$34+param_bovins!$I$143,IF(Calculs_bovins!K508=param_bovins!$A$144,param_bovins!$H$144*'Saisie 2_bovins'!$D$34+param_bovins!$I$144,IF(Calculs_bovins!K508=param_bovins!$A$145,param_bovins!$H$145*'Saisie 2_bovins'!$D$34+param_bovins!$I$145,IF(K508=param_bovins!$A$146,param_bovins!$H$146*'Saisie 2_bovins'!$D$34+param_bovins!$I$146,0))))</f>
        <v>0</v>
      </c>
      <c r="L509" s="74">
        <f>IF(L508=param_bovins!$A$143,param_bovins!$H$143*'Saisie 2_bovins'!$D$34+param_bovins!$I$143,IF(Calculs_bovins!L508=param_bovins!$A$144,param_bovins!$H$144*'Saisie 2_bovins'!$D$34+param_bovins!$I$144,IF(Calculs_bovins!L508=param_bovins!$A$145,param_bovins!$H$145*'Saisie 2_bovins'!$D$34+param_bovins!$I$145,IF(L508=param_bovins!$A$146,param_bovins!$H$146*'Saisie 2_bovins'!$D$34+param_bovins!$I$146,0))))</f>
        <v>0</v>
      </c>
      <c r="M509" s="74">
        <f>IF(M508=param_bovins!$A$143,param_bovins!$H$143*'Saisie 2_bovins'!$D$34+param_bovins!$I$143,IF(Calculs_bovins!M508=param_bovins!$A$144,param_bovins!$H$144*'Saisie 2_bovins'!$D$34+param_bovins!$I$144,IF(Calculs_bovins!M508=param_bovins!$A$145,param_bovins!$H$145*'Saisie 2_bovins'!$D$34+param_bovins!$I$145,IF(M508=param_bovins!$A$146,param_bovins!$H$146*'Saisie 2_bovins'!$D$34+param_bovins!$I$146,0))))</f>
        <v>0</v>
      </c>
      <c r="N509" s="74">
        <f>IF(N508=param_bovins!$A$143,param_bovins!$H$143*'Saisie 2_bovins'!$D$34+param_bovins!$I$143,IF(Calculs_bovins!N508=param_bovins!$A$144,param_bovins!$H$144*'Saisie 2_bovins'!$D$34+param_bovins!$I$144,IF(Calculs_bovins!N508=param_bovins!$A$145,param_bovins!$H$145*'Saisie 2_bovins'!$D$34+param_bovins!$I$145,IF(N508=param_bovins!$A$146,param_bovins!$H$146*'Saisie 2_bovins'!$D$34+param_bovins!$I$146,0))))</f>
        <v>0</v>
      </c>
      <c r="O509" s="74">
        <f>IF(O508=param_bovins!$A$143,param_bovins!$H$143*'Saisie 2_bovins'!$D$34+param_bovins!$I$143,IF(Calculs_bovins!O508=param_bovins!$A$144,param_bovins!$H$144*'Saisie 2_bovins'!$D$34+param_bovins!$I$144,IF(Calculs_bovins!O508=param_bovins!$A$145,param_bovins!$H$145*'Saisie 2_bovins'!$D$34+param_bovins!$I$145,IF(O508=param_bovins!$A$146,param_bovins!$H$146*'Saisie 2_bovins'!$D$34+param_bovins!$I$146,0))))</f>
        <v>0</v>
      </c>
      <c r="P509" s="30"/>
    </row>
    <row r="510" spans="1:16" x14ac:dyDescent="0.25">
      <c r="A510" t="s">
        <v>144</v>
      </c>
      <c r="B510" t="s">
        <v>329</v>
      </c>
      <c r="C510" t="s">
        <v>313</v>
      </c>
      <c r="D510" s="74">
        <f>IF(D508=param_bovins!$A$143,param_bovins!$B$143*'Saisie 2_bovins'!$D$34+param_bovins!$C$143,IF(Calculs_bovins!D508=param_bovins!$A$144,param_bovins!$B$144*'Saisie 2_bovins'!$D$34+param_bovins!$C$144,IF(Calculs_bovins!D508=param_bovins!$A$145,param_bovins!$B$145*'Saisie 2_bovins'!$D$34+param_bovins!$C$145,IF(D508=param_bovins!$A$146,param_bovins!$B$146*'Saisie 2_bovins'!$D$34+param_bovins!$C$146,0))))/1000</f>
        <v>0</v>
      </c>
      <c r="E510" s="74">
        <f>IF(E508=param_bovins!$A$143,param_bovins!$B$143*'Saisie 2_bovins'!$D$34+param_bovins!$C$143,IF(Calculs_bovins!E508=param_bovins!$A$144,param_bovins!$B$144*'Saisie 2_bovins'!$D$34+param_bovins!$C$144,IF(Calculs_bovins!E508=param_bovins!$A$145,param_bovins!$B$145*'Saisie 2_bovins'!$D$34+param_bovins!$C$145,IF(E508=param_bovins!$A$146,param_bovins!$B$146*'Saisie 2_bovins'!$D$34+param_bovins!$C$146,0))))/1000</f>
        <v>0</v>
      </c>
      <c r="F510" s="74">
        <f>IF(F508=param_bovins!$A$143,param_bovins!$B$143*'Saisie 2_bovins'!$D$34+param_bovins!$C$143,IF(Calculs_bovins!F508=param_bovins!$A$144,param_bovins!$B$144*'Saisie 2_bovins'!$D$34+param_bovins!$C$144,IF(Calculs_bovins!F508=param_bovins!$A$145,param_bovins!$B$145*'Saisie 2_bovins'!$D$34+param_bovins!$C$145,IF(F508=param_bovins!$A$146,param_bovins!$B$146*'Saisie 2_bovins'!$D$34+param_bovins!$C$146,0))))/1000</f>
        <v>0</v>
      </c>
      <c r="G510" s="74">
        <f>IF(G508=param_bovins!$A$143,param_bovins!$B$143*'Saisie 2_bovins'!$D$34+param_bovins!$C$143,IF(Calculs_bovins!G508=param_bovins!$A$144,param_bovins!$B$144*'Saisie 2_bovins'!$D$34+param_bovins!$C$144,IF(Calculs_bovins!G508=param_bovins!$A$145,param_bovins!$B$145*'Saisie 2_bovins'!$D$34+param_bovins!$C$145,IF(G508=param_bovins!$A$146,param_bovins!$B$146*'Saisie 2_bovins'!$D$34+param_bovins!$C$146,0))))/1000</f>
        <v>0</v>
      </c>
      <c r="H510" s="74">
        <f>IF(H508=param_bovins!$A$143,param_bovins!$B$143*'Saisie 2_bovins'!$D$34+param_bovins!$C$143,IF(Calculs_bovins!H508=param_bovins!$A$144,param_bovins!$B$144*'Saisie 2_bovins'!$D$34+param_bovins!$C$144,IF(Calculs_bovins!H508=param_bovins!$A$145,param_bovins!$B$145*'Saisie 2_bovins'!$D$34+param_bovins!$C$145,IF(H508=param_bovins!$A$146,param_bovins!$B$146*'Saisie 2_bovins'!$D$34+param_bovins!$C$146,0))))/1000</f>
        <v>0</v>
      </c>
      <c r="I510" s="74">
        <f>IF(I508=param_bovins!$A$143,param_bovins!$B$143*'Saisie 2_bovins'!$D$34+param_bovins!$C$143,IF(Calculs_bovins!I508=param_bovins!$A$144,param_bovins!$B$144*'Saisie 2_bovins'!$D$34+param_bovins!$C$144,IF(Calculs_bovins!I508=param_bovins!$A$145,param_bovins!$B$145*'Saisie 2_bovins'!$D$34+param_bovins!$C$145,IF(I508=param_bovins!$A$146,param_bovins!$B$146*'Saisie 2_bovins'!$D$34+param_bovins!$C$146,0))))/1000</f>
        <v>0</v>
      </c>
      <c r="J510" s="74">
        <f>IF(J508=param_bovins!$A$143,param_bovins!$B$143*'Saisie 2_bovins'!$D$34+param_bovins!$C$143,IF(Calculs_bovins!J508=param_bovins!$A$144,param_bovins!$B$144*'Saisie 2_bovins'!$D$34+param_bovins!$C$144,IF(Calculs_bovins!J508=param_bovins!$A$145,param_bovins!$B$145*'Saisie 2_bovins'!$D$34+param_bovins!$C$145,IF(J508=param_bovins!$A$146,param_bovins!$B$146*'Saisie 2_bovins'!$D$34+param_bovins!$C$146,0))))/1000</f>
        <v>0</v>
      </c>
      <c r="K510" s="74">
        <f>IF(K508=param_bovins!$A$143,param_bovins!$B$143*'Saisie 2_bovins'!$D$34+param_bovins!$C$143,IF(Calculs_bovins!K508=param_bovins!$A$144,param_bovins!$B$144*'Saisie 2_bovins'!$D$34+param_bovins!$C$144,IF(Calculs_bovins!K508=param_bovins!$A$145,param_bovins!$B$145*'Saisie 2_bovins'!$D$34+param_bovins!$C$145,IF(K508=param_bovins!$A$146,param_bovins!$B$146*'Saisie 2_bovins'!$D$34+param_bovins!$C$146,0))))/1000</f>
        <v>0</v>
      </c>
      <c r="L510" s="74">
        <f>IF(L508=param_bovins!$A$143,param_bovins!$B$143*'Saisie 2_bovins'!$D$34+param_bovins!$C$143,IF(Calculs_bovins!L508=param_bovins!$A$144,param_bovins!$B$144*'Saisie 2_bovins'!$D$34+param_bovins!$C$144,IF(Calculs_bovins!L508=param_bovins!$A$145,param_bovins!$B$145*'Saisie 2_bovins'!$D$34+param_bovins!$C$145,IF(L508=param_bovins!$A$146,param_bovins!$B$146*'Saisie 2_bovins'!$D$34+param_bovins!$C$146,0))))/1000</f>
        <v>0</v>
      </c>
      <c r="M510" s="74">
        <f>IF(M508=param_bovins!$A$143,param_bovins!$B$143*'Saisie 2_bovins'!$D$34+param_bovins!$C$143,IF(Calculs_bovins!M508=param_bovins!$A$144,param_bovins!$B$144*'Saisie 2_bovins'!$D$34+param_bovins!$C$144,IF(Calculs_bovins!M508=param_bovins!$A$145,param_bovins!$B$145*'Saisie 2_bovins'!$D$34+param_bovins!$C$145,IF(M508=param_bovins!$A$146,param_bovins!$B$146*'Saisie 2_bovins'!$D$34+param_bovins!$C$146,0))))/1000</f>
        <v>0</v>
      </c>
      <c r="N510" s="74">
        <f>IF(N508=param_bovins!$A$143,param_bovins!$B$143*'Saisie 2_bovins'!$D$34+param_bovins!$C$143,IF(Calculs_bovins!N508=param_bovins!$A$144,param_bovins!$B$144*'Saisie 2_bovins'!$D$34+param_bovins!$C$144,IF(Calculs_bovins!N508=param_bovins!$A$145,param_bovins!$B$145*'Saisie 2_bovins'!$D$34+param_bovins!$C$145,IF(N508=param_bovins!$A$146,param_bovins!$B$146*'Saisie 2_bovins'!$D$34+param_bovins!$C$146,0))))/1000</f>
        <v>0</v>
      </c>
      <c r="O510" s="74">
        <f>IF(O508=param_bovins!$A$143,param_bovins!$B$143*'Saisie 2_bovins'!$D$34+param_bovins!$C$143,IF(Calculs_bovins!O508=param_bovins!$A$144,param_bovins!$B$144*'Saisie 2_bovins'!$D$34+param_bovins!$C$144,IF(Calculs_bovins!O508=param_bovins!$A$145,param_bovins!$B$145*'Saisie 2_bovins'!$D$34+param_bovins!$C$145,IF(O508=param_bovins!$A$146,param_bovins!$B$146*'Saisie 2_bovins'!$D$34+param_bovins!$C$146,0))))/1000</f>
        <v>0</v>
      </c>
      <c r="P510" s="30"/>
    </row>
    <row r="511" spans="1:16" x14ac:dyDescent="0.25">
      <c r="A511" t="s">
        <v>146</v>
      </c>
      <c r="B511" t="s">
        <v>329</v>
      </c>
      <c r="C511" t="s">
        <v>314</v>
      </c>
      <c r="D511" s="60">
        <f>IF(D508=param_bovins!$A$143,param_bovins!$D$143*'Saisie 2_bovins'!$D$34+param_bovins!$E$143,IF(Calculs_bovins!D508=param_bovins!$A$144,param_bovins!$D$144*'Saisie 2_bovins'!$D$34+param_bovins!$E$144,IF(Calculs_bovins!D508=param_bovins!$A$145,param_bovins!$D$145*'Saisie 2_bovins'!$D$34+param_bovins!$E$145,IF(D508=param_bovins!$A$146,param_bovins!$D$146*'Saisie 2_bovins'!$D$34+param_bovins!$E$146,0))))/1000</f>
        <v>0</v>
      </c>
      <c r="E511" s="60">
        <f>IF(E508=param_bovins!$A$143,param_bovins!$D$143*'Saisie 2_bovins'!$D$34+param_bovins!$E$143,IF(Calculs_bovins!E508=param_bovins!$A$144,param_bovins!$D$144*'Saisie 2_bovins'!$D$34+param_bovins!$E$144,IF(Calculs_bovins!E508=param_bovins!$A$145,param_bovins!$D$145*'Saisie 2_bovins'!$D$34+param_bovins!$E$145,IF(E508=param_bovins!$A$146,param_bovins!$D$146*'Saisie 2_bovins'!$D$34+param_bovins!$E$146,0))))/1000</f>
        <v>0</v>
      </c>
      <c r="F511" s="60">
        <f>IF(F508=param_bovins!$A$143,param_bovins!$D$143*'Saisie 2_bovins'!$D$34+param_bovins!$E$143,IF(Calculs_bovins!F508=param_bovins!$A$144,param_bovins!$D$144*'Saisie 2_bovins'!$D$34+param_bovins!$E$144,IF(Calculs_bovins!F508=param_bovins!$A$145,param_bovins!$D$145*'Saisie 2_bovins'!$D$34+param_bovins!$E$145,IF(F508=param_bovins!$A$146,param_bovins!$D$146*'Saisie 2_bovins'!$D$34+param_bovins!$E$146,0))))/1000</f>
        <v>0</v>
      </c>
      <c r="G511" s="60">
        <f>IF(G508=param_bovins!$A$143,param_bovins!$D$143*'Saisie 2_bovins'!$D$34+param_bovins!$E$143,IF(Calculs_bovins!G508=param_bovins!$A$144,param_bovins!$D$144*'Saisie 2_bovins'!$D$34+param_bovins!$E$144,IF(Calculs_bovins!G508=param_bovins!$A$145,param_bovins!$D$145*'Saisie 2_bovins'!$D$34+param_bovins!$E$145,IF(G508=param_bovins!$A$146,param_bovins!$D$146*'Saisie 2_bovins'!$D$34+param_bovins!$E$146,0))))/1000</f>
        <v>0</v>
      </c>
      <c r="H511" s="60">
        <f>IF(H508=param_bovins!$A$143,param_bovins!$D$143*'Saisie 2_bovins'!$D$34+param_bovins!$E$143,IF(Calculs_bovins!H508=param_bovins!$A$144,param_bovins!$D$144*'Saisie 2_bovins'!$D$34+param_bovins!$E$144,IF(Calculs_bovins!H508=param_bovins!$A$145,param_bovins!$D$145*'Saisie 2_bovins'!$D$34+param_bovins!$E$145,IF(H508=param_bovins!$A$146,param_bovins!$D$146*'Saisie 2_bovins'!$D$34+param_bovins!$E$146,0))))/1000</f>
        <v>0</v>
      </c>
      <c r="I511" s="60">
        <f>IF(I508=param_bovins!$A$143,param_bovins!$D$143*'Saisie 2_bovins'!$D$34+param_bovins!$E$143,IF(Calculs_bovins!I508=param_bovins!$A$144,param_bovins!$D$144*'Saisie 2_bovins'!$D$34+param_bovins!$E$144,IF(Calculs_bovins!I508=param_bovins!$A$145,param_bovins!$D$145*'Saisie 2_bovins'!$D$34+param_bovins!$E$145,IF(I508=param_bovins!$A$146,param_bovins!$D$146*'Saisie 2_bovins'!$D$34+param_bovins!$E$146,0))))/1000</f>
        <v>0</v>
      </c>
      <c r="J511" s="60">
        <f>IF(J508=param_bovins!$A$143,param_bovins!$D$143*'Saisie 2_bovins'!$D$34+param_bovins!$E$143,IF(Calculs_bovins!J508=param_bovins!$A$144,param_bovins!$D$144*'Saisie 2_bovins'!$D$34+param_bovins!$E$144,IF(Calculs_bovins!J508=param_bovins!$A$145,param_bovins!$D$145*'Saisie 2_bovins'!$D$34+param_bovins!$E$145,IF(J508=param_bovins!$A$146,param_bovins!$D$146*'Saisie 2_bovins'!$D$34+param_bovins!$E$146,0))))/1000</f>
        <v>0</v>
      </c>
      <c r="K511" s="60">
        <f>IF(K508=param_bovins!$A$143,param_bovins!$D$143*'Saisie 2_bovins'!$D$34+param_bovins!$E$143,IF(Calculs_bovins!K508=param_bovins!$A$144,param_bovins!$D$144*'Saisie 2_bovins'!$D$34+param_bovins!$E$144,IF(Calculs_bovins!K508=param_bovins!$A$145,param_bovins!$D$145*'Saisie 2_bovins'!$D$34+param_bovins!$E$145,IF(K508=param_bovins!$A$146,param_bovins!$D$146*'Saisie 2_bovins'!$D$34+param_bovins!$E$146,0))))/1000</f>
        <v>0</v>
      </c>
      <c r="L511" s="60">
        <f>IF(L508=param_bovins!$A$143,param_bovins!$D$143*'Saisie 2_bovins'!$D$34+param_bovins!$E$143,IF(Calculs_bovins!L508=param_bovins!$A$144,param_bovins!$D$144*'Saisie 2_bovins'!$D$34+param_bovins!$E$144,IF(Calculs_bovins!L508=param_bovins!$A$145,param_bovins!$D$145*'Saisie 2_bovins'!$D$34+param_bovins!$E$145,IF(L508=param_bovins!$A$146,param_bovins!$D$146*'Saisie 2_bovins'!$D$34+param_bovins!$E$146,0))))/1000</f>
        <v>0</v>
      </c>
      <c r="M511" s="60">
        <f>IF(M508=param_bovins!$A$143,param_bovins!$D$143*'Saisie 2_bovins'!$D$34+param_bovins!$E$143,IF(Calculs_bovins!M508=param_bovins!$A$144,param_bovins!$D$144*'Saisie 2_bovins'!$D$34+param_bovins!$E$144,IF(Calculs_bovins!M508=param_bovins!$A$145,param_bovins!$D$145*'Saisie 2_bovins'!$D$34+param_bovins!$E$145,IF(M508=param_bovins!$A$146,param_bovins!$D$146*'Saisie 2_bovins'!$D$34+param_bovins!$E$146,0))))/1000</f>
        <v>0</v>
      </c>
      <c r="N511" s="60">
        <f>IF(N508=param_bovins!$A$143,param_bovins!$D$143*'Saisie 2_bovins'!$D$34+param_bovins!$E$143,IF(Calculs_bovins!N508=param_bovins!$A$144,param_bovins!$D$144*'Saisie 2_bovins'!$D$34+param_bovins!$E$144,IF(Calculs_bovins!N508=param_bovins!$A$145,param_bovins!$D$145*'Saisie 2_bovins'!$D$34+param_bovins!$E$145,IF(N508=param_bovins!$A$146,param_bovins!$D$146*'Saisie 2_bovins'!$D$34+param_bovins!$E$146,0))))/1000</f>
        <v>0</v>
      </c>
      <c r="O511" s="60">
        <f>IF(O508=param_bovins!$A$143,param_bovins!$D$143*'Saisie 2_bovins'!$D$34+param_bovins!$E$143,IF(Calculs_bovins!O508=param_bovins!$A$144,param_bovins!$D$144*'Saisie 2_bovins'!$D$34+param_bovins!$E$144,IF(Calculs_bovins!O508=param_bovins!$A$145,param_bovins!$D$145*'Saisie 2_bovins'!$D$34+param_bovins!$E$145,IF(O508=param_bovins!$A$146,param_bovins!$D$146*'Saisie 2_bovins'!$D$34+param_bovins!$E$146,0))))/1000</f>
        <v>0</v>
      </c>
      <c r="P511" s="30"/>
    </row>
    <row r="512" spans="1:16" x14ac:dyDescent="0.25">
      <c r="A512" t="s">
        <v>150</v>
      </c>
      <c r="B512" t="s">
        <v>329</v>
      </c>
      <c r="C512" t="s">
        <v>315</v>
      </c>
      <c r="D512" s="60">
        <f>IF(D508=param_bovins!$A$143,param_bovins!$F$143*'Saisie 2_bovins'!$D$34+param_bovins!$G$143,IF(Calculs_bovins!D508=param_bovins!$A$144,param_bovins!$F$144*'Saisie 2_bovins'!$D$34+param_bovins!$G$144,IF(Calculs_bovins!D508=param_bovins!$A$145,param_bovins!$F$145*'Saisie 2_bovins'!$D$34+param_bovins!$G$145,IF(D508=param_bovins!$A$146,param_bovins!$F$146*'Saisie 2_bovins'!$D$34+param_bovins!$G$146,0))))/1000</f>
        <v>0</v>
      </c>
      <c r="E512" s="60">
        <f>IF(E508=param_bovins!$A$143,param_bovins!$F$143*'Saisie 2_bovins'!$D$34+param_bovins!$G$143,IF(Calculs_bovins!E508=param_bovins!$A$144,param_bovins!$F$144*'Saisie 2_bovins'!$D$34+param_bovins!$G$144,IF(Calculs_bovins!E508=param_bovins!$A$145,param_bovins!$F$145*'Saisie 2_bovins'!$D$34+param_bovins!$G$145,IF(E508=param_bovins!$A$146,param_bovins!$F$146*'Saisie 2_bovins'!$D$34+param_bovins!$G$146,0))))/1000</f>
        <v>0</v>
      </c>
      <c r="F512" s="60">
        <f>IF(F508=param_bovins!$A$143,param_bovins!$F$143*'Saisie 2_bovins'!$D$34+param_bovins!$G$143,IF(Calculs_bovins!F508=param_bovins!$A$144,param_bovins!$F$144*'Saisie 2_bovins'!$D$34+param_bovins!$G$144,IF(Calculs_bovins!F508=param_bovins!$A$145,param_bovins!$F$145*'Saisie 2_bovins'!$D$34+param_bovins!$G$145,IF(F508=param_bovins!$A$146,param_bovins!$F$146*'Saisie 2_bovins'!$D$34+param_bovins!$G$146,0))))/1000</f>
        <v>0</v>
      </c>
      <c r="G512" s="60">
        <f>IF(G508=param_bovins!$A$143,param_bovins!$F$143*'Saisie 2_bovins'!$D$34+param_bovins!$G$143,IF(Calculs_bovins!G508=param_bovins!$A$144,param_bovins!$F$144*'Saisie 2_bovins'!$D$34+param_bovins!$G$144,IF(Calculs_bovins!G508=param_bovins!$A$145,param_bovins!$F$145*'Saisie 2_bovins'!$D$34+param_bovins!$G$145,IF(G508=param_bovins!$A$146,param_bovins!$F$146*'Saisie 2_bovins'!$D$34+param_bovins!$G$146,0))))/1000</f>
        <v>0</v>
      </c>
      <c r="H512" s="60">
        <f>IF(H508=param_bovins!$A$143,param_bovins!$F$143*'Saisie 2_bovins'!$D$34+param_bovins!$G$143,IF(Calculs_bovins!H508=param_bovins!$A$144,param_bovins!$F$144*'Saisie 2_bovins'!$D$34+param_bovins!$G$144,IF(Calculs_bovins!H508=param_bovins!$A$145,param_bovins!$F$145*'Saisie 2_bovins'!$D$34+param_bovins!$G$145,IF(H508=param_bovins!$A$146,param_bovins!$F$146*'Saisie 2_bovins'!$D$34+param_bovins!$G$146,0))))/1000</f>
        <v>0</v>
      </c>
      <c r="I512" s="60">
        <f>IF(I508=param_bovins!$A$143,param_bovins!$F$143*'Saisie 2_bovins'!$D$34+param_bovins!$G$143,IF(Calculs_bovins!I508=param_bovins!$A$144,param_bovins!$F$144*'Saisie 2_bovins'!$D$34+param_bovins!$G$144,IF(Calculs_bovins!I508=param_bovins!$A$145,param_bovins!$F$145*'Saisie 2_bovins'!$D$34+param_bovins!$G$145,IF(I508=param_bovins!$A$146,param_bovins!$F$146*'Saisie 2_bovins'!$D$34+param_bovins!$G$146,0))))/1000</f>
        <v>0</v>
      </c>
      <c r="J512" s="60">
        <f>IF(J508=param_bovins!$A$143,param_bovins!$F$143*'Saisie 2_bovins'!$D$34+param_bovins!$G$143,IF(Calculs_bovins!J508=param_bovins!$A$144,param_bovins!$F$144*'Saisie 2_bovins'!$D$34+param_bovins!$G$144,IF(Calculs_bovins!J508=param_bovins!$A$145,param_bovins!$F$145*'Saisie 2_bovins'!$D$34+param_bovins!$G$145,IF(J508=param_bovins!$A$146,param_bovins!$F$146*'Saisie 2_bovins'!$D$34+param_bovins!$G$146,0))))/1000</f>
        <v>0</v>
      </c>
      <c r="K512" s="60">
        <f>IF(K508=param_bovins!$A$143,param_bovins!$F$143*'Saisie 2_bovins'!$D$34+param_bovins!$G$143,IF(Calculs_bovins!K508=param_bovins!$A$144,param_bovins!$F$144*'Saisie 2_bovins'!$D$34+param_bovins!$G$144,IF(Calculs_bovins!K508=param_bovins!$A$145,param_bovins!$F$145*'Saisie 2_bovins'!$D$34+param_bovins!$G$145,IF(K508=param_bovins!$A$146,param_bovins!$F$146*'Saisie 2_bovins'!$D$34+param_bovins!$G$146,0))))/1000</f>
        <v>0</v>
      </c>
      <c r="L512" s="60">
        <f>IF(L508=param_bovins!$A$143,param_bovins!$F$143*'Saisie 2_bovins'!$D$34+param_bovins!$G$143,IF(Calculs_bovins!L508=param_bovins!$A$144,param_bovins!$F$144*'Saisie 2_bovins'!$D$34+param_bovins!$G$144,IF(Calculs_bovins!L508=param_bovins!$A$145,param_bovins!$F$145*'Saisie 2_bovins'!$D$34+param_bovins!$G$145,IF(L508=param_bovins!$A$146,param_bovins!$F$146*'Saisie 2_bovins'!$D$34+param_bovins!$G$146,0))))/1000</f>
        <v>0</v>
      </c>
      <c r="M512" s="60">
        <f>IF(M508=param_bovins!$A$143,param_bovins!$F$143*'Saisie 2_bovins'!$D$34+param_bovins!$G$143,IF(Calculs_bovins!M508=param_bovins!$A$144,param_bovins!$F$144*'Saisie 2_bovins'!$D$34+param_bovins!$G$144,IF(Calculs_bovins!M508=param_bovins!$A$145,param_bovins!$F$145*'Saisie 2_bovins'!$D$34+param_bovins!$G$145,IF(M508=param_bovins!$A$146,param_bovins!$F$146*'Saisie 2_bovins'!$D$34+param_bovins!$G$146,0))))/1000</f>
        <v>0</v>
      </c>
      <c r="N512" s="60">
        <f>IF(N508=param_bovins!$A$143,param_bovins!$F$143*'Saisie 2_bovins'!$D$34+param_bovins!$G$143,IF(Calculs_bovins!N508=param_bovins!$A$144,param_bovins!$F$144*'Saisie 2_bovins'!$D$34+param_bovins!$G$144,IF(Calculs_bovins!N508=param_bovins!$A$145,param_bovins!$F$145*'Saisie 2_bovins'!$D$34+param_bovins!$G$145,IF(N508=param_bovins!$A$146,param_bovins!$F$146*'Saisie 2_bovins'!$D$34+param_bovins!$G$146,0))))/1000</f>
        <v>0</v>
      </c>
      <c r="O512" s="60">
        <f>IF(O508=param_bovins!$A$143,param_bovins!$F$143*'Saisie 2_bovins'!$D$34+param_bovins!$G$143,IF(Calculs_bovins!O508=param_bovins!$A$144,param_bovins!$F$144*'Saisie 2_bovins'!$D$34+param_bovins!$G$144,IF(Calculs_bovins!O508=param_bovins!$A$145,param_bovins!$F$145*'Saisie 2_bovins'!$D$34+param_bovins!$G$145,IF(O508=param_bovins!$A$146,param_bovins!$F$146*'Saisie 2_bovins'!$D$34+param_bovins!$G$146,0))))/1000</f>
        <v>0</v>
      </c>
      <c r="P512" s="30"/>
    </row>
    <row r="513" spans="1:16" x14ac:dyDescent="0.25">
      <c r="A513" s="36" t="s">
        <v>291</v>
      </c>
      <c r="B513" s="36"/>
      <c r="C513" s="36" t="s">
        <v>316</v>
      </c>
      <c r="D513" s="72">
        <f>D510*12</f>
        <v>0</v>
      </c>
      <c r="E513" s="72">
        <f t="shared" ref="E513:O513" si="198">E510*12</f>
        <v>0</v>
      </c>
      <c r="F513" s="72">
        <f t="shared" si="198"/>
        <v>0</v>
      </c>
      <c r="G513" s="72">
        <f t="shared" si="198"/>
        <v>0</v>
      </c>
      <c r="H513" s="72">
        <f t="shared" si="198"/>
        <v>0</v>
      </c>
      <c r="I513" s="72">
        <f t="shared" si="198"/>
        <v>0</v>
      </c>
      <c r="J513" s="72">
        <f t="shared" si="198"/>
        <v>0</v>
      </c>
      <c r="K513" s="72">
        <f t="shared" si="198"/>
        <v>0</v>
      </c>
      <c r="L513" s="72">
        <f t="shared" si="198"/>
        <v>0</v>
      </c>
      <c r="M513" s="72">
        <f t="shared" si="198"/>
        <v>0</v>
      </c>
      <c r="N513" s="72">
        <f t="shared" si="198"/>
        <v>0</v>
      </c>
      <c r="O513" s="72">
        <f t="shared" si="198"/>
        <v>0</v>
      </c>
      <c r="P513" s="30"/>
    </row>
    <row r="514" spans="1:16" x14ac:dyDescent="0.25">
      <c r="A514" s="36"/>
      <c r="B514" s="36"/>
      <c r="C514" s="36" t="s">
        <v>317</v>
      </c>
      <c r="D514" s="72">
        <f>D511*12</f>
        <v>0</v>
      </c>
      <c r="E514" s="72">
        <f t="shared" ref="E514:O514" si="199">E511*12</f>
        <v>0</v>
      </c>
      <c r="F514" s="72">
        <f t="shared" si="199"/>
        <v>0</v>
      </c>
      <c r="G514" s="72">
        <f t="shared" si="199"/>
        <v>0</v>
      </c>
      <c r="H514" s="72">
        <f t="shared" si="199"/>
        <v>0</v>
      </c>
      <c r="I514" s="72">
        <f t="shared" si="199"/>
        <v>0</v>
      </c>
      <c r="J514" s="72">
        <f t="shared" si="199"/>
        <v>0</v>
      </c>
      <c r="K514" s="72">
        <f t="shared" si="199"/>
        <v>0</v>
      </c>
      <c r="L514" s="72">
        <f t="shared" si="199"/>
        <v>0</v>
      </c>
      <c r="M514" s="72">
        <f t="shared" si="199"/>
        <v>0</v>
      </c>
      <c r="N514" s="72">
        <f t="shared" si="199"/>
        <v>0</v>
      </c>
      <c r="O514" s="72">
        <f t="shared" si="199"/>
        <v>0</v>
      </c>
      <c r="P514" s="30"/>
    </row>
    <row r="515" spans="1:16" x14ac:dyDescent="0.25">
      <c r="A515" s="36"/>
      <c r="B515" s="36"/>
      <c r="C515" s="36" t="s">
        <v>318</v>
      </c>
      <c r="D515" s="72">
        <f>D512*12</f>
        <v>0</v>
      </c>
      <c r="E515" s="72">
        <f t="shared" ref="E515:O515" si="200">E512*12</f>
        <v>0</v>
      </c>
      <c r="F515" s="72">
        <f t="shared" si="200"/>
        <v>0</v>
      </c>
      <c r="G515" s="72">
        <f t="shared" si="200"/>
        <v>0</v>
      </c>
      <c r="H515" s="72">
        <f t="shared" si="200"/>
        <v>0</v>
      </c>
      <c r="I515" s="72">
        <f t="shared" si="200"/>
        <v>0</v>
      </c>
      <c r="J515" s="72">
        <f t="shared" si="200"/>
        <v>0</v>
      </c>
      <c r="K515" s="72">
        <f t="shared" si="200"/>
        <v>0</v>
      </c>
      <c r="L515" s="72">
        <f t="shared" si="200"/>
        <v>0</v>
      </c>
      <c r="M515" s="72">
        <f t="shared" si="200"/>
        <v>0</v>
      </c>
      <c r="N515" s="72">
        <f t="shared" si="200"/>
        <v>0</v>
      </c>
      <c r="O515" s="72">
        <f t="shared" si="200"/>
        <v>0</v>
      </c>
      <c r="P515" s="30"/>
    </row>
    <row r="516" spans="1:16" x14ac:dyDescent="0.25">
      <c r="A516" s="57"/>
      <c r="B516" s="57"/>
      <c r="C516" s="36" t="s">
        <v>319</v>
      </c>
      <c r="D516" s="72">
        <f>D509/(365.25/12)</f>
        <v>0</v>
      </c>
      <c r="E516" s="72">
        <f t="shared" ref="E516:O516" si="201">E509/(365.25/12)</f>
        <v>0</v>
      </c>
      <c r="F516" s="72">
        <f t="shared" si="201"/>
        <v>0</v>
      </c>
      <c r="G516" s="72">
        <f t="shared" si="201"/>
        <v>0</v>
      </c>
      <c r="H516" s="72">
        <f t="shared" si="201"/>
        <v>0</v>
      </c>
      <c r="I516" s="72">
        <f t="shared" si="201"/>
        <v>0</v>
      </c>
      <c r="J516" s="72">
        <f t="shared" si="201"/>
        <v>0</v>
      </c>
      <c r="K516" s="72">
        <f t="shared" si="201"/>
        <v>0</v>
      </c>
      <c r="L516" s="72">
        <f t="shared" si="201"/>
        <v>0</v>
      </c>
      <c r="M516" s="72">
        <f t="shared" si="201"/>
        <v>0</v>
      </c>
      <c r="N516" s="72">
        <f t="shared" si="201"/>
        <v>0</v>
      </c>
      <c r="O516" s="72">
        <f t="shared" si="201"/>
        <v>0</v>
      </c>
      <c r="P516" s="30"/>
    </row>
    <row r="517" spans="1:16" x14ac:dyDescent="0.25">
      <c r="A517" s="57"/>
      <c r="B517" s="57"/>
      <c r="C517" s="36" t="s">
        <v>320</v>
      </c>
      <c r="D517" s="72">
        <f>IF(D508=param_bovins!$A$101,param_bovins!$F$78*D516,IF(D508=param_bovins!$A$102,param_bovins!$F$79*D516,IF(D508=param_bovins!$A$103,param_bovins!$F$80*D516,IF(D508=param_bovins!$A$104,param_bovins!$F$81*D516,0))))</f>
        <v>0</v>
      </c>
      <c r="E517" s="72">
        <f>IF(E508=param_bovins!$A$101,param_bovins!$F$78*E516,IF(E508=param_bovins!$A$102,param_bovins!$F$79*E516,IF(E508=param_bovins!$A$103,param_bovins!$F$80*E516,IF(E508=param_bovins!$A$104,param_bovins!$F$81*E516,0))))</f>
        <v>0</v>
      </c>
      <c r="F517" s="72">
        <f>IF(F508=param_bovins!$A$101,param_bovins!$F$78*F516,IF(F508=param_bovins!$A$102,param_bovins!$F$79*F516,IF(F508=param_bovins!$A$103,param_bovins!$F$80*F516,IF(F508=param_bovins!$A$104,param_bovins!$F$81*F516,0))))</f>
        <v>0</v>
      </c>
      <c r="G517" s="72">
        <f>IF(G508=param_bovins!$A$101,param_bovins!$F$78*G516,IF(G508=param_bovins!$A$102,param_bovins!$F$79*G516,IF(G508=param_bovins!$A$103,param_bovins!$F$80*G516,IF(G508=param_bovins!$A$104,param_bovins!$F$81*G516,0))))</f>
        <v>0</v>
      </c>
      <c r="H517" s="72">
        <f>IF(H508=param_bovins!$A$101,param_bovins!$F$78*H516,IF(H508=param_bovins!$A$102,param_bovins!$F$79*H516,IF(H508=param_bovins!$A$103,param_bovins!$F$80*H516,IF(H508=param_bovins!$A$104,param_bovins!$F$81*H516,0))))</f>
        <v>0</v>
      </c>
      <c r="I517" s="72">
        <f>IF(I508=param_bovins!$A$101,param_bovins!$F$78*I516,IF(I508=param_bovins!$A$102,param_bovins!$F$79*I516,IF(I508=param_bovins!$A$103,param_bovins!$F$80*I516,IF(I508=param_bovins!$A$104,param_bovins!$F$81*I516,0))))</f>
        <v>0</v>
      </c>
      <c r="J517" s="72">
        <f>IF(J508=param_bovins!$A$101,param_bovins!$F$78*J516,IF(J508=param_bovins!$A$102,param_bovins!$F$79*J516,IF(J508=param_bovins!$A$103,param_bovins!$F$80*J516,IF(J508=param_bovins!$A$104,param_bovins!$F$81*J516,0))))</f>
        <v>0</v>
      </c>
      <c r="K517" s="72">
        <f>IF(K508=param_bovins!$A$101,param_bovins!$F$78*K516,IF(K508=param_bovins!$A$102,param_bovins!$F$79*K516,IF(K508=param_bovins!$A$103,param_bovins!$F$80*K516,IF(K508=param_bovins!$A$104,param_bovins!$F$81*K516,0))))</f>
        <v>0</v>
      </c>
      <c r="L517" s="72">
        <f>IF(L508=param_bovins!$A$101,param_bovins!$F$78*L516,IF(L508=param_bovins!$A$102,param_bovins!$F$79*L516,IF(L508=param_bovins!$A$103,param_bovins!$F$80*L516,IF(L508=param_bovins!$A$104,param_bovins!$F$81*L516,0))))</f>
        <v>0</v>
      </c>
      <c r="M517" s="72">
        <f>IF(M508=param_bovins!$A$101,param_bovins!$F$78*M516,IF(M508=param_bovins!$A$102,param_bovins!$F$79*M516,IF(M508=param_bovins!$A$103,param_bovins!$F$80*M516,IF(M508=param_bovins!$A$104,param_bovins!$F$81*M516,0))))</f>
        <v>0</v>
      </c>
      <c r="N517" s="72">
        <f>IF(N508=param_bovins!$A$101,param_bovins!$F$78*N516,IF(N508=param_bovins!$A$102,param_bovins!$F$79*N516,IF(N508=param_bovins!$A$103,param_bovins!$F$80*N516,IF(N508=param_bovins!$A$104,param_bovins!$F$81*N516,0))))</f>
        <v>0</v>
      </c>
      <c r="O517" s="72">
        <f>IF(O508=param_bovins!$A$101,param_bovins!$F$78*O516,IF(O508=param_bovins!$A$102,param_bovins!$F$79*O516,IF(O508=param_bovins!$A$103,param_bovins!$F$80*O516,IF(O508=param_bovins!$A$104,param_bovins!$F$81*O516,0))))</f>
        <v>0</v>
      </c>
      <c r="P517" s="30"/>
    </row>
    <row r="518" spans="1:16" x14ac:dyDescent="0.25">
      <c r="A518" s="12"/>
      <c r="B518" s="12"/>
      <c r="C518" s="42"/>
      <c r="P518" s="30"/>
    </row>
    <row r="519" spans="1:16" x14ac:dyDescent="0.25">
      <c r="A519" t="s">
        <v>348</v>
      </c>
      <c r="B519" s="33"/>
      <c r="C519" s="36" t="s">
        <v>347</v>
      </c>
      <c r="D519">
        <f>'Feuille saisie commune'!$E$12</f>
        <v>0</v>
      </c>
      <c r="E519">
        <f>'Feuille saisie commune'!$E$12</f>
        <v>0</v>
      </c>
      <c r="F519">
        <f>'Feuille saisie commune'!$E$12</f>
        <v>0</v>
      </c>
      <c r="G519">
        <f>'Feuille saisie commune'!$E$12</f>
        <v>0</v>
      </c>
      <c r="H519">
        <f>'Feuille saisie commune'!$E$12</f>
        <v>0</v>
      </c>
      <c r="I519">
        <f>'Feuille saisie commune'!$E$12</f>
        <v>0</v>
      </c>
      <c r="J519">
        <f>'Feuille saisie commune'!$E$12</f>
        <v>0</v>
      </c>
      <c r="K519">
        <f>'Feuille saisie commune'!$E$12</f>
        <v>0</v>
      </c>
      <c r="L519">
        <f>'Feuille saisie commune'!$E$12</f>
        <v>0</v>
      </c>
      <c r="M519">
        <f>'Feuille saisie commune'!$E$12</f>
        <v>0</v>
      </c>
      <c r="N519">
        <f>'Feuille saisie commune'!$E$12</f>
        <v>0</v>
      </c>
      <c r="O519">
        <f>'Feuille saisie commune'!$E$12</f>
        <v>0</v>
      </c>
      <c r="P519" s="30"/>
    </row>
    <row r="520" spans="1:16" x14ac:dyDescent="0.25">
      <c r="A520" s="33" t="s">
        <v>204</v>
      </c>
      <c r="B520" t="s">
        <v>288</v>
      </c>
      <c r="C520" s="33" t="s">
        <v>205</v>
      </c>
      <c r="D520" s="28">
        <f>'Saisie 2_bovins'!G34/(365.25/12)</f>
        <v>0</v>
      </c>
      <c r="E520" s="28">
        <f>'Saisie 2_bovins'!H34/(365.25/12)</f>
        <v>0</v>
      </c>
      <c r="F520" s="28">
        <f>'Saisie 2_bovins'!I34/(365.25/12)</f>
        <v>0</v>
      </c>
      <c r="G520" s="28">
        <f>'Saisie 2_bovins'!J34/(365.25/12)</f>
        <v>0</v>
      </c>
      <c r="H520" s="28">
        <f>'Saisie 2_bovins'!K34/(365.25/12)</f>
        <v>0</v>
      </c>
      <c r="I520" s="28">
        <f>'Saisie 2_bovins'!L34/(365.25/12)</f>
        <v>0</v>
      </c>
      <c r="J520" s="28">
        <f>'Saisie 2_bovins'!M34/(365.25/12)</f>
        <v>0</v>
      </c>
      <c r="K520" s="28">
        <f>'Saisie 2_bovins'!N34/(365.25/12)</f>
        <v>0</v>
      </c>
      <c r="L520" s="28">
        <f>'Saisie 2_bovins'!O34/(365.25/12)</f>
        <v>0</v>
      </c>
      <c r="M520" s="28">
        <f>'Saisie 2_bovins'!P34/(365.25/12)</f>
        <v>0</v>
      </c>
      <c r="N520" s="28">
        <f>'Saisie 2_bovins'!Q34/(365.25/12)</f>
        <v>0</v>
      </c>
      <c r="O520" s="28">
        <f>'Saisie 2_bovins'!R34/(365.25/12)</f>
        <v>0</v>
      </c>
      <c r="P520" s="30"/>
    </row>
    <row r="521" spans="1:16" x14ac:dyDescent="0.25">
      <c r="A521" s="33" t="s">
        <v>207</v>
      </c>
      <c r="B521" t="s">
        <v>332</v>
      </c>
      <c r="C521" t="s">
        <v>213</v>
      </c>
      <c r="D521" s="60">
        <f>D510*D$519*D$520</f>
        <v>0</v>
      </c>
      <c r="E521" s="60">
        <f t="shared" ref="E521:O521" si="202">E510*E$519*E$520</f>
        <v>0</v>
      </c>
      <c r="F521" s="60">
        <f t="shared" si="202"/>
        <v>0</v>
      </c>
      <c r="G521" s="60">
        <f t="shared" si="202"/>
        <v>0</v>
      </c>
      <c r="H521" s="60">
        <f t="shared" si="202"/>
        <v>0</v>
      </c>
      <c r="I521" s="60">
        <f t="shared" si="202"/>
        <v>0</v>
      </c>
      <c r="J521" s="60">
        <f t="shared" si="202"/>
        <v>0</v>
      </c>
      <c r="K521" s="60">
        <f t="shared" si="202"/>
        <v>0</v>
      </c>
      <c r="L521" s="60">
        <f t="shared" si="202"/>
        <v>0</v>
      </c>
      <c r="M521" s="60">
        <f t="shared" si="202"/>
        <v>0</v>
      </c>
      <c r="N521" s="60">
        <f t="shared" si="202"/>
        <v>0</v>
      </c>
      <c r="O521" s="60">
        <f t="shared" si="202"/>
        <v>0</v>
      </c>
      <c r="P521" s="30"/>
    </row>
    <row r="522" spans="1:16" x14ac:dyDescent="0.25">
      <c r="A522" s="33" t="s">
        <v>209</v>
      </c>
      <c r="B522" t="s">
        <v>333</v>
      </c>
      <c r="C522" t="s">
        <v>214</v>
      </c>
      <c r="D522" s="60">
        <f>D511*D$519*D$520</f>
        <v>0</v>
      </c>
      <c r="E522" s="60">
        <f t="shared" ref="E522:O523" si="203">E511*E$519*E$520</f>
        <v>0</v>
      </c>
      <c r="F522" s="60">
        <f t="shared" si="203"/>
        <v>0</v>
      </c>
      <c r="G522" s="60">
        <f t="shared" si="203"/>
        <v>0</v>
      </c>
      <c r="H522" s="60">
        <f t="shared" si="203"/>
        <v>0</v>
      </c>
      <c r="I522" s="60">
        <f t="shared" si="203"/>
        <v>0</v>
      </c>
      <c r="J522" s="60">
        <f t="shared" si="203"/>
        <v>0</v>
      </c>
      <c r="K522" s="60">
        <f t="shared" si="203"/>
        <v>0</v>
      </c>
      <c r="L522" s="60">
        <f t="shared" si="203"/>
        <v>0</v>
      </c>
      <c r="M522" s="60">
        <f t="shared" si="203"/>
        <v>0</v>
      </c>
      <c r="N522" s="60">
        <f t="shared" si="203"/>
        <v>0</v>
      </c>
      <c r="O522" s="60">
        <f t="shared" si="203"/>
        <v>0</v>
      </c>
      <c r="P522" s="30"/>
    </row>
    <row r="523" spans="1:16" x14ac:dyDescent="0.25">
      <c r="A523" s="33" t="s">
        <v>208</v>
      </c>
      <c r="B523" t="s">
        <v>334</v>
      </c>
      <c r="C523" t="s">
        <v>215</v>
      </c>
      <c r="D523" s="60">
        <f>D512*D$519*D$520</f>
        <v>0</v>
      </c>
      <c r="E523" s="60">
        <f t="shared" si="203"/>
        <v>0</v>
      </c>
      <c r="F523" s="60">
        <f t="shared" si="203"/>
        <v>0</v>
      </c>
      <c r="G523" s="60">
        <f t="shared" si="203"/>
        <v>0</v>
      </c>
      <c r="H523" s="60">
        <f t="shared" si="203"/>
        <v>0</v>
      </c>
      <c r="I523" s="60">
        <f t="shared" si="203"/>
        <v>0</v>
      </c>
      <c r="J523" s="60">
        <f t="shared" si="203"/>
        <v>0</v>
      </c>
      <c r="K523" s="60">
        <f t="shared" si="203"/>
        <v>0</v>
      </c>
      <c r="L523" s="60">
        <f t="shared" si="203"/>
        <v>0</v>
      </c>
      <c r="M523" s="60">
        <f t="shared" si="203"/>
        <v>0</v>
      </c>
      <c r="N523" s="60">
        <f t="shared" si="203"/>
        <v>0</v>
      </c>
      <c r="O523" s="60">
        <f t="shared" si="203"/>
        <v>0</v>
      </c>
      <c r="P523" s="30"/>
    </row>
    <row r="524" spans="1:16" x14ac:dyDescent="0.25">
      <c r="P524" s="30"/>
    </row>
    <row r="525" spans="1:16" x14ac:dyDescent="0.25">
      <c r="A525" s="42" t="s">
        <v>265</v>
      </c>
      <c r="B525" s="42"/>
      <c r="C525" s="42" t="s">
        <v>335</v>
      </c>
      <c r="D525">
        <f>'Feuille saisie commune'!G12</f>
        <v>0</v>
      </c>
      <c r="P525" s="30"/>
    </row>
    <row r="526" spans="1:16" x14ac:dyDescent="0.25">
      <c r="A526" s="33" t="s">
        <v>262</v>
      </c>
      <c r="B526" t="s">
        <v>336</v>
      </c>
      <c r="C526" s="47" t="s">
        <v>263</v>
      </c>
      <c r="D526">
        <f>$D525*D519*D520*(365.25/12)</f>
        <v>0</v>
      </c>
      <c r="E526">
        <f t="shared" ref="E526" si="204">$D525*E519*E520*(365.25/12)</f>
        <v>0</v>
      </c>
      <c r="F526">
        <f t="shared" ref="F526" si="205">$D525*F519*F520*(365.25/12)</f>
        <v>0</v>
      </c>
      <c r="G526">
        <f t="shared" ref="G526" si="206">$D525*G519*G520*(365.25/12)</f>
        <v>0</v>
      </c>
      <c r="H526">
        <f t="shared" ref="H526" si="207">$D525*H519*H520*(365.25/12)</f>
        <v>0</v>
      </c>
      <c r="I526">
        <f t="shared" ref="I526" si="208">$D525*I519*I520*(365.25/12)</f>
        <v>0</v>
      </c>
      <c r="J526">
        <f t="shared" ref="J526" si="209">$D525*J519*J520*(365.25/12)</f>
        <v>0</v>
      </c>
      <c r="K526">
        <f t="shared" ref="K526" si="210">$D525*K519*K520*(365.25/12)</f>
        <v>0</v>
      </c>
      <c r="L526">
        <f t="shared" ref="L526" si="211">$D525*L519*L520*(365.25/12)</f>
        <v>0</v>
      </c>
      <c r="M526">
        <f t="shared" ref="M526" si="212">$D525*M519*M520*(365.25/12)</f>
        <v>0</v>
      </c>
      <c r="N526">
        <f t="shared" ref="N526" si="213">$D525*N519*N520*(365.25/12)</f>
        <v>0</v>
      </c>
      <c r="O526">
        <f t="shared" ref="O526" si="214">$D525*O519*O520*(365.25/12)</f>
        <v>0</v>
      </c>
      <c r="P526" s="30"/>
    </row>
    <row r="527" spans="1:16" x14ac:dyDescent="0.25">
      <c r="A527" s="33" t="s">
        <v>267</v>
      </c>
      <c r="B527" t="s">
        <v>270</v>
      </c>
      <c r="C527" t="s">
        <v>246</v>
      </c>
      <c r="D527" s="60">
        <f>D526*param_bovins!$D$160*param_bovins!$A$160/1000</f>
        <v>0</v>
      </c>
      <c r="E527" s="60">
        <f>E526*param_bovins!$D$160*param_bovins!$A$160/1000</f>
        <v>0</v>
      </c>
      <c r="F527" s="60">
        <f>F526*param_bovins!$D$160*param_bovins!$A$160/1000</f>
        <v>0</v>
      </c>
      <c r="G527" s="60">
        <f>G526*param_bovins!$D$160*param_bovins!$A$160/1000</f>
        <v>0</v>
      </c>
      <c r="H527" s="60">
        <f>H526*param_bovins!$D$160*param_bovins!$A$160/1000</f>
        <v>0</v>
      </c>
      <c r="I527" s="60">
        <f>I526*param_bovins!$D$160*param_bovins!$A$160/1000</f>
        <v>0</v>
      </c>
      <c r="J527" s="60">
        <f>J526*param_bovins!$D$160*param_bovins!$A$160/1000</f>
        <v>0</v>
      </c>
      <c r="K527" s="60">
        <f>K526*param_bovins!$D$160*param_bovins!$A$160/1000</f>
        <v>0</v>
      </c>
      <c r="L527" s="60">
        <f>L526*param_bovins!$D$160*param_bovins!$A$160/1000</f>
        <v>0</v>
      </c>
      <c r="M527" s="60">
        <f>M526*param_bovins!$D$160*param_bovins!$A$160/1000</f>
        <v>0</v>
      </c>
      <c r="N527" s="60">
        <f>N526*param_bovins!$D$160*param_bovins!$A$160/1000</f>
        <v>0</v>
      </c>
      <c r="O527" s="60">
        <f>O526*param_bovins!$D$160*param_bovins!$A$160/1000</f>
        <v>0</v>
      </c>
      <c r="P527" s="30"/>
    </row>
    <row r="528" spans="1:16" x14ac:dyDescent="0.25">
      <c r="A528" s="33" t="s">
        <v>268</v>
      </c>
      <c r="B528" s="33"/>
      <c r="C528" t="s">
        <v>249</v>
      </c>
      <c r="D528">
        <f>D526*param_bovins!$D$160*param_bovins!$B$160/1000</f>
        <v>0</v>
      </c>
      <c r="E528">
        <f>E526*param_bovins!$D$160*param_bovins!$B$160/1000</f>
        <v>0</v>
      </c>
      <c r="F528">
        <f>F526*param_bovins!$D$160*param_bovins!$B$160/1000</f>
        <v>0</v>
      </c>
      <c r="G528">
        <f>G526*param_bovins!$D$160*param_bovins!$B$160/1000</f>
        <v>0</v>
      </c>
      <c r="H528">
        <f>H526*param_bovins!$D$160*param_bovins!$B$160/1000</f>
        <v>0</v>
      </c>
      <c r="I528">
        <f>I526*param_bovins!$D$160*param_bovins!$B$160/1000</f>
        <v>0</v>
      </c>
      <c r="J528">
        <f>J526*param_bovins!$D$160*param_bovins!$B$160/1000</f>
        <v>0</v>
      </c>
      <c r="K528">
        <f>K526*param_bovins!$D$160*param_bovins!$B$160/1000</f>
        <v>0</v>
      </c>
      <c r="L528">
        <f>L526*param_bovins!$D$160*param_bovins!$B$160/1000</f>
        <v>0</v>
      </c>
      <c r="M528">
        <f>M526*param_bovins!$D$160*param_bovins!$B$160/1000</f>
        <v>0</v>
      </c>
      <c r="N528">
        <f>N526*param_bovins!$D$160*param_bovins!$B$160/1000</f>
        <v>0</v>
      </c>
      <c r="O528">
        <f>O526*param_bovins!$D$160*param_bovins!$B$160/1000</f>
        <v>0</v>
      </c>
      <c r="P528" s="30"/>
    </row>
    <row r="529" spans="1:16" x14ac:dyDescent="0.25">
      <c r="A529" s="33" t="s">
        <v>269</v>
      </c>
      <c r="B529" s="33"/>
      <c r="C529" t="s">
        <v>271</v>
      </c>
      <c r="D529" s="60">
        <f>D526*param_bovins!$D$160*param_bovins!$C$160/1000</f>
        <v>0</v>
      </c>
      <c r="E529" s="60">
        <f>E526*param_bovins!$D$160*param_bovins!$C$160/1000</f>
        <v>0</v>
      </c>
      <c r="F529" s="60">
        <f>F526*param_bovins!$D$160*param_bovins!$C$160/1000</f>
        <v>0</v>
      </c>
      <c r="G529" s="60">
        <f>G526*param_bovins!$D$160*param_bovins!$C$160/1000</f>
        <v>0</v>
      </c>
      <c r="H529" s="60">
        <f>H526*param_bovins!$D$160*param_bovins!$C$160/1000</f>
        <v>0</v>
      </c>
      <c r="I529" s="60">
        <f>I526*param_bovins!$D$160*param_bovins!$C$160/1000</f>
        <v>0</v>
      </c>
      <c r="J529" s="60">
        <f>J526*param_bovins!$D$160*param_bovins!$C$160/1000</f>
        <v>0</v>
      </c>
      <c r="K529" s="60">
        <f>K526*param_bovins!$D$160*param_bovins!$C$160/1000</f>
        <v>0</v>
      </c>
      <c r="L529" s="60">
        <f>L526*param_bovins!$D$160*param_bovins!$C$160/1000</f>
        <v>0</v>
      </c>
      <c r="M529" s="60">
        <f>M526*param_bovins!$D$160*param_bovins!$C$160/1000</f>
        <v>0</v>
      </c>
      <c r="N529" s="60">
        <f>N526*param_bovins!$D$160*param_bovins!$C$160/1000</f>
        <v>0</v>
      </c>
      <c r="O529" s="60">
        <f>O526*param_bovins!$D$160*param_bovins!$C$160/1000</f>
        <v>0</v>
      </c>
      <c r="P529" s="30"/>
    </row>
    <row r="530" spans="1:16" x14ac:dyDescent="0.25">
      <c r="A530" s="33"/>
      <c r="B530" s="33"/>
      <c r="P530" s="30"/>
    </row>
    <row r="531" spans="1:16" x14ac:dyDescent="0.25">
      <c r="A531" s="9" t="s">
        <v>5</v>
      </c>
      <c r="B531" s="9"/>
      <c r="C531" s="9"/>
      <c r="D531" t="str">
        <f>'Feuille saisie commune'!F12</f>
        <v>Pente paillée</v>
      </c>
      <c r="P531" s="30"/>
    </row>
    <row r="532" spans="1:16" x14ac:dyDescent="0.25">
      <c r="A532" s="9"/>
      <c r="B532" s="9"/>
      <c r="C532" s="9"/>
      <c r="P532" s="30"/>
    </row>
    <row r="533" spans="1:16" x14ac:dyDescent="0.25">
      <c r="A533" t="s">
        <v>242</v>
      </c>
      <c r="C533" t="s">
        <v>205</v>
      </c>
      <c r="D533">
        <f>IF(D531="Logette, lisier",param_bovins!B107,IF(D531="Etable entravée, lisier",param_bovins!B108,IF(D531="Litière accumulée, couloir lisier",param_bovins!B109,IF(D531="Logette, mixte lisier/fumier",param_bovins!B110,IF(D531="Etable entravée, fumier",param_bovins!B111,IF(D531="Pente paillée",param_bovins!B112,IF(D531="Logette, fumier",param_bovins!B113,IF(D531=param_bovins!A114,param_bovins!B114,IF(D531=param_bovins!A115,param_bovins!B115,#N/A)))))))))</f>
        <v>0</v>
      </c>
      <c r="P533" s="30"/>
    </row>
    <row r="534" spans="1:16" x14ac:dyDescent="0.25">
      <c r="A534" t="s">
        <v>243</v>
      </c>
      <c r="C534" t="s">
        <v>205</v>
      </c>
      <c r="D534">
        <f>IF(D531="Logette, lisier",param_bovins!C107,IF(D531="Etable entravée, lisier",param_bovins!C108,IF(D531="Litière accumulée, couloir lisier",param_bovins!C109,IF(D531="Logette, mixte lisier/fumier",param_bovins!C110,IF(D531="Etable entravée, fumier",param_bovins!C111,IF(D531="Pente paillée",param_bovins!C112,IF(D531="Logette, fumier",param_bovins!C113,IF(D531=param_bovins!A114,param_bovins!C114,IF(D531=param_bovins!A115,param_bovins!C115,#N/A)))))))))</f>
        <v>1</v>
      </c>
      <c r="P534" s="30"/>
    </row>
    <row r="535" spans="1:16" x14ac:dyDescent="0.25">
      <c r="A535" t="s">
        <v>244</v>
      </c>
      <c r="B535" s="33"/>
      <c r="C535" t="s">
        <v>205</v>
      </c>
      <c r="D535">
        <f>IF(D531="Logette, mixte lisier/fumier",param_bovins!D66,IF(D531="Etable entravée, fumier",param_bovins!D67,IF(D531="Pente paillée",param_bovins!D68,IF(D531="Logette, fumier",param_bovins!D69,IF(D531=param_bovins!A70,param_bovins!D70,0)))))</f>
        <v>0.04</v>
      </c>
      <c r="P535" s="30"/>
    </row>
    <row r="536" spans="1:16" x14ac:dyDescent="0.25">
      <c r="A536" s="9" t="s">
        <v>294</v>
      </c>
      <c r="B536" s="9"/>
      <c r="C536" s="9" t="s">
        <v>50</v>
      </c>
      <c r="D536">
        <f>IF(D531=param_bovins!A109,param_bovins!F109,IF(D531=param_bovins!A110,param_bovins!F110,IF(D531=param_bovins!A111,param_bovins!F111,IF(D531=param_bovins!A112,param_bovins!F112,IF(D531=param_bovins!A113,param_bovins!F113,IF(D531=param_bovins!A114,param_bovins!F114,IF(D531=param_bovins!A115,param_bovins!F115,0)))))))</f>
        <v>0.75</v>
      </c>
      <c r="P536" s="30"/>
    </row>
    <row r="537" spans="1:16" x14ac:dyDescent="0.25">
      <c r="A537" t="s">
        <v>152</v>
      </c>
      <c r="B537" s="9"/>
      <c r="C537" s="33" t="s">
        <v>732</v>
      </c>
      <c r="D537">
        <f>IF(D531="Logette, lisier",param_bovins!G107,IF(D531="Etable entravée, lisier",param_bovins!G108,IF(D531="Litière accumulée, couloir lisier",param_bovins!G109,IF(D531="Logette, mixte lisier/fumier",param_bovins!G110,IF(D531="Etable entravée, fumier",param_bovins!G111,IF(D531="Pente paillée",param_bovins!G112,IF(D531="Logette, fumier",param_bovins!G113,IF(D531=param_bovins!A114,param_bovins!G114,IF(D531=param_bovins!A115,param_bovins!G115,#N/A)))))))))</f>
        <v>15</v>
      </c>
      <c r="P537" s="30"/>
    </row>
    <row r="538" spans="1:16" x14ac:dyDescent="0.25">
      <c r="A538" s="33" t="s">
        <v>734</v>
      </c>
      <c r="B538" s="33"/>
      <c r="C538" t="s">
        <v>205</v>
      </c>
      <c r="D538" s="29">
        <f>IF(D531="Logette, mixte lisier/fumier",IF('Saisie 2_bovins'!C44="couverte", param_bovins!H66, param_bovins!I66), IF(D531="Etable entravée, fumier",IF('Saisie 2_bovins'!C44="couverte",param_bovins!H67,param_bovins!I67),IF(D531="Pente paillée",IF('Saisie 2_bovins'!C44="couverte",param_bovins!H68,param_bovins!I68),IF(D531="Logette, fumier",IF('Saisie 2_bovins'!C44="couverte",param_bovins!H69, param_bovins!I69),IF(D531=param_bovins!A70,IF('Saisie 2_bovins'!C44="couverte",param_bovins!H70,param_bovins!I70),IF(D531=param_bovins!A71,IF('Saisie 2_bovins'!C44="couverte",param_bovins!H71,param_bovins!I71),IF(D531=param_bovins!A65,IF('Saisie 2_bovins'!C44="couverte",param_bovins!H65,param_bovins!I65),0)))))))</f>
        <v>0.03</v>
      </c>
      <c r="P538" s="30"/>
    </row>
    <row r="539" spans="1:16" x14ac:dyDescent="0.25">
      <c r="A539" s="33" t="s">
        <v>735</v>
      </c>
      <c r="B539" s="33"/>
      <c r="C539" t="s">
        <v>205</v>
      </c>
      <c r="D539" s="32">
        <f>IF(D531="Logette, mixte lisier/fumier",IF('Saisie 2_bovins'!C44="couverte", param_bovins!J66, param_bovins!K66), IF(D531="Etable entravée, fumier",IF('Saisie 2_bovins'!C44="couverte",param_bovins!J67,param_bovins!K67),IF(D531="Pente paillée",IF('Saisie 2_bovins'!C44="couverte",param_bovins!J68,param_bovins!K68),IF(D531="Logette, fumier",IF('Saisie 2_bovins'!C44="couverte",param_bovins!J69, param_bovins!K69),IF(D531=param_bovins!A70,IF('Saisie 2_bovins'!C44="couverte",param_bovins!J70,param_bovins!K70),IF(D531=param_bovins!A71,IF('Saisie 2_bovins'!C44="couverte",param_bovins!J71,param_bovins!K71),IF(D531=param_bovins!A65,IF('Saisie 2_bovins'!C44="couverte",param_bovins!J65,param_bovins!K65),0)))))))</f>
        <v>2.7E-2</v>
      </c>
      <c r="P539" s="30"/>
    </row>
    <row r="540" spans="1:16" x14ac:dyDescent="0.25">
      <c r="A540" s="33" t="s">
        <v>736</v>
      </c>
      <c r="B540" s="33"/>
      <c r="C540" t="s">
        <v>205</v>
      </c>
      <c r="D540" s="32">
        <f>IF(D531="Logette, mixte lisier/fumier",IF('Saisie 2_bovins'!C44="couverte", param_bovins!L66, param_bovins!M66), IF(D531="Etable entravée, fumier",IF('Saisie 2_bovins'!C44="couverte",param_bovins!L67,param_bovins!M67),IF(D531="Pente paillée",IF('Saisie 2_bovins'!C44="couverte",param_bovins!L68,param_bovins!M68),IF(D531="Logette, fumier",IF('Saisie 2_bovins'!C44="couverte",param_bovins!L69, param_bovins!M69),IF(D531=param_bovins!A70,IF('Saisie 2_bovins'!C44="couverte",param_bovins!L70,param_bovins!M70),IF(D531=param_bovins!A71,IF('Saisie 2_bovins'!C44="couverte",param_bovins!L71,param_bovins!M71),IF(D531=param_bovins!A65,IF('Saisie 2_bovins'!C44="couverte",param_bovins!L65,param_bovins!M65),0)))))))</f>
        <v>3.3000000000000002E-2</v>
      </c>
      <c r="P540" s="30"/>
    </row>
    <row r="541" spans="1:16" x14ac:dyDescent="0.25">
      <c r="A541" t="s">
        <v>782</v>
      </c>
      <c r="B541" s="33"/>
      <c r="C541" t="s">
        <v>783</v>
      </c>
      <c r="D541" s="33">
        <f>IF(D531=param_bovins!A109,param_bovins!N109,IF(D531=param_bovins!A110,param_bovins!N110,IF(D531=param_bovins!A111,param_bovins!N111,IF(D531=param_bovins!A112,param_bovins!N112,IF(D531=param_bovins!A113,param_bovins!N113,IF(D531=param_bovins!A114,param_bovins!N114,IF(D531=param_bovins!A115,param_bovins!N115,0)))))))</f>
        <v>18.2</v>
      </c>
      <c r="P541" s="30"/>
    </row>
    <row r="542" spans="1:16" x14ac:dyDescent="0.25">
      <c r="B542" s="33"/>
      <c r="C542" s="33"/>
      <c r="P542" s="30"/>
    </row>
    <row r="543" spans="1:16" x14ac:dyDescent="0.25">
      <c r="A543" t="s">
        <v>220</v>
      </c>
      <c r="B543" s="33" t="s">
        <v>227</v>
      </c>
      <c r="C543" t="s">
        <v>337</v>
      </c>
      <c r="D543" s="60">
        <f>D533*param_bovins!D12</f>
        <v>0</v>
      </c>
      <c r="P543" s="30"/>
    </row>
    <row r="544" spans="1:16" x14ac:dyDescent="0.25">
      <c r="A544" t="s">
        <v>221</v>
      </c>
      <c r="B544" t="s">
        <v>226</v>
      </c>
      <c r="C544" t="s">
        <v>337</v>
      </c>
      <c r="D544" s="60">
        <f>IF(D536=0,0,param_bovins!B11*D537*Calculs_bovins!D534/Calculs_bovins!D536)</f>
        <v>12</v>
      </c>
      <c r="G544" s="61">
        <f>D544*D536</f>
        <v>9</v>
      </c>
      <c r="H544" s="9" t="s">
        <v>303</v>
      </c>
      <c r="P544" s="30"/>
    </row>
    <row r="545" spans="1:16" x14ac:dyDescent="0.25">
      <c r="A545" t="s">
        <v>222</v>
      </c>
      <c r="B545" t="s">
        <v>228</v>
      </c>
      <c r="C545" t="s">
        <v>337</v>
      </c>
      <c r="D545" s="60">
        <f>D544*D535</f>
        <v>0.48</v>
      </c>
      <c r="P545" s="30"/>
    </row>
    <row r="546" spans="1:16" x14ac:dyDescent="0.25">
      <c r="P546" s="30"/>
    </row>
    <row r="547" spans="1:16" x14ac:dyDescent="0.25">
      <c r="A547" t="s">
        <v>353</v>
      </c>
      <c r="B547" t="s">
        <v>349</v>
      </c>
      <c r="C547" t="s">
        <v>205</v>
      </c>
      <c r="D547">
        <f>IF('Saisie 2_bovins'!$D$34&gt;=param_bovins!$A$136,param_bovins!$B$136,IF('Saisie 2_bovins'!$D$34&gt;=param_bovins!$A$137,param_bovins!$B$137,param_bovins!$B$138))</f>
        <v>0.7</v>
      </c>
      <c r="E547">
        <f>IF('Saisie 2_bovins'!$D$34&gt;=param_bovins!$A$136,param_bovins!$B$136,IF('Saisie 2_bovins'!$D$34&gt;=param_bovins!$A$137,param_bovins!$B$137,param_bovins!$B$138))</f>
        <v>0.7</v>
      </c>
      <c r="F547">
        <f>IF('Saisie 2_bovins'!$D$34&gt;=param_bovins!$A$136,param_bovins!$B$136,IF('Saisie 2_bovins'!$D$34&gt;=param_bovins!$A$137,param_bovins!$B$137,param_bovins!$B$138))</f>
        <v>0.7</v>
      </c>
      <c r="G547">
        <f>IF('Saisie 2_bovins'!$D$34&gt;=param_bovins!$A$136,param_bovins!$B$136,IF('Saisie 2_bovins'!$D$34&gt;=param_bovins!$A$137,param_bovins!$B$137,param_bovins!$B$138))</f>
        <v>0.7</v>
      </c>
      <c r="H547">
        <f>IF('Saisie 2_bovins'!$D$34&gt;=param_bovins!$A$136,param_bovins!$B$136,IF('Saisie 2_bovins'!$D$34&gt;=param_bovins!$A$137,param_bovins!$B$137,param_bovins!$B$138))</f>
        <v>0.7</v>
      </c>
      <c r="I547">
        <f>IF('Saisie 2_bovins'!$D$34&gt;=param_bovins!$A$136,param_bovins!$B$136,IF('Saisie 2_bovins'!$D$34&gt;=param_bovins!$A$137,param_bovins!$B$137,param_bovins!$B$138))</f>
        <v>0.7</v>
      </c>
      <c r="J547">
        <f>IF('Saisie 2_bovins'!$D$34&gt;=param_bovins!$A$136,param_bovins!$B$136,IF('Saisie 2_bovins'!$D$34&gt;=param_bovins!$A$137,param_bovins!$B$137,param_bovins!$B$138))</f>
        <v>0.7</v>
      </c>
      <c r="K547">
        <f>IF('Saisie 2_bovins'!$D$34&gt;=param_bovins!$A$136,param_bovins!$B$136,IF('Saisie 2_bovins'!$D$34&gt;=param_bovins!$A$137,param_bovins!$B$137,param_bovins!$B$138))</f>
        <v>0.7</v>
      </c>
      <c r="L547">
        <f>IF('Saisie 2_bovins'!$D$34&gt;=param_bovins!$A$136,param_bovins!$B$136,IF('Saisie 2_bovins'!$D$34&gt;=param_bovins!$A$137,param_bovins!$B$137,param_bovins!$B$138))</f>
        <v>0.7</v>
      </c>
      <c r="M547">
        <f>IF('Saisie 2_bovins'!$D$34&gt;=param_bovins!$A$136,param_bovins!$B$136,IF('Saisie 2_bovins'!$D$34&gt;=param_bovins!$A$137,param_bovins!$B$137,param_bovins!$B$138))</f>
        <v>0.7</v>
      </c>
      <c r="N547">
        <f>IF('Saisie 2_bovins'!$D$34&gt;=param_bovins!$A$136,param_bovins!$B$136,IF('Saisie 2_bovins'!$D$34&gt;=param_bovins!$A$137,param_bovins!$B$137,param_bovins!$B$138))</f>
        <v>0.7</v>
      </c>
      <c r="O547">
        <f>IF('Saisie 2_bovins'!$D$34&gt;=param_bovins!$A$136,param_bovins!$B$136,IF('Saisie 2_bovins'!$D$34&gt;=param_bovins!$A$137,param_bovins!$B$137,param_bovins!$B$138))</f>
        <v>0.7</v>
      </c>
      <c r="P547" s="30"/>
    </row>
    <row r="548" spans="1:16" x14ac:dyDescent="0.25">
      <c r="P548" s="30"/>
    </row>
    <row r="549" spans="1:16" x14ac:dyDescent="0.25">
      <c r="A549" s="33" t="s">
        <v>210</v>
      </c>
      <c r="B549" s="33" t="s">
        <v>340</v>
      </c>
      <c r="C549" t="s">
        <v>341</v>
      </c>
      <c r="D549" s="60">
        <f>$D543*D$547/12</f>
        <v>0</v>
      </c>
      <c r="E549" s="60">
        <f t="shared" ref="E549:O549" si="215">$D543*E$547/12</f>
        <v>0</v>
      </c>
      <c r="F549" s="60">
        <f t="shared" si="215"/>
        <v>0</v>
      </c>
      <c r="G549" s="60">
        <f t="shared" si="215"/>
        <v>0</v>
      </c>
      <c r="H549" s="60">
        <f t="shared" si="215"/>
        <v>0</v>
      </c>
      <c r="I549" s="60">
        <f t="shared" si="215"/>
        <v>0</v>
      </c>
      <c r="J549" s="60">
        <f t="shared" si="215"/>
        <v>0</v>
      </c>
      <c r="K549" s="60">
        <f t="shared" si="215"/>
        <v>0</v>
      </c>
      <c r="L549" s="60">
        <f t="shared" si="215"/>
        <v>0</v>
      </c>
      <c r="M549" s="60">
        <f t="shared" si="215"/>
        <v>0</v>
      </c>
      <c r="N549" s="60">
        <f t="shared" si="215"/>
        <v>0</v>
      </c>
      <c r="O549" s="60">
        <f t="shared" si="215"/>
        <v>0</v>
      </c>
      <c r="P549" s="30"/>
    </row>
    <row r="550" spans="1:16" x14ac:dyDescent="0.25">
      <c r="A550" s="33" t="s">
        <v>211</v>
      </c>
      <c r="B550" s="33" t="s">
        <v>340</v>
      </c>
      <c r="C550" t="s">
        <v>341</v>
      </c>
      <c r="D550" s="60">
        <f>$D544*D$547/12</f>
        <v>0.69999999999999984</v>
      </c>
      <c r="E550" s="60">
        <f t="shared" ref="E550:O550" si="216">$D544*E$547/12</f>
        <v>0.69999999999999984</v>
      </c>
      <c r="F550" s="60">
        <f t="shared" si="216"/>
        <v>0.69999999999999984</v>
      </c>
      <c r="G550" s="60">
        <f t="shared" si="216"/>
        <v>0.69999999999999984</v>
      </c>
      <c r="H550" s="60">
        <f t="shared" si="216"/>
        <v>0.69999999999999984</v>
      </c>
      <c r="I550" s="60">
        <f t="shared" si="216"/>
        <v>0.69999999999999984</v>
      </c>
      <c r="J550" s="60">
        <f t="shared" si="216"/>
        <v>0.69999999999999984</v>
      </c>
      <c r="K550" s="60">
        <f t="shared" si="216"/>
        <v>0.69999999999999984</v>
      </c>
      <c r="L550" s="60">
        <f t="shared" si="216"/>
        <v>0.69999999999999984</v>
      </c>
      <c r="M550" s="60">
        <f t="shared" si="216"/>
        <v>0.69999999999999984</v>
      </c>
      <c r="N550" s="60">
        <f t="shared" si="216"/>
        <v>0.69999999999999984</v>
      </c>
      <c r="O550" s="60">
        <f t="shared" si="216"/>
        <v>0.69999999999999984</v>
      </c>
      <c r="P550" s="30"/>
    </row>
    <row r="551" spans="1:16" x14ac:dyDescent="0.25">
      <c r="A551" s="33" t="s">
        <v>212</v>
      </c>
      <c r="B551" t="s">
        <v>363</v>
      </c>
      <c r="C551" t="s">
        <v>341</v>
      </c>
      <c r="D551" s="60">
        <f>$D$545*D547/12</f>
        <v>2.7999999999999997E-2</v>
      </c>
      <c r="E551" s="60">
        <f t="shared" ref="E551:O551" si="217">$D$545*E547/12</f>
        <v>2.7999999999999997E-2</v>
      </c>
      <c r="F551" s="60">
        <f t="shared" si="217"/>
        <v>2.7999999999999997E-2</v>
      </c>
      <c r="G551" s="60">
        <f t="shared" si="217"/>
        <v>2.7999999999999997E-2</v>
      </c>
      <c r="H551" s="60">
        <f t="shared" si="217"/>
        <v>2.7999999999999997E-2</v>
      </c>
      <c r="I551" s="60">
        <f t="shared" si="217"/>
        <v>2.7999999999999997E-2</v>
      </c>
      <c r="J551" s="60">
        <f t="shared" si="217"/>
        <v>2.7999999999999997E-2</v>
      </c>
      <c r="K551" s="60">
        <f t="shared" si="217"/>
        <v>2.7999999999999997E-2</v>
      </c>
      <c r="L551" s="60">
        <f t="shared" si="217"/>
        <v>2.7999999999999997E-2</v>
      </c>
      <c r="M551" s="60">
        <f t="shared" si="217"/>
        <v>2.7999999999999997E-2</v>
      </c>
      <c r="N551" s="60">
        <f t="shared" si="217"/>
        <v>2.7999999999999997E-2</v>
      </c>
      <c r="O551" s="60">
        <f t="shared" si="217"/>
        <v>2.7999999999999997E-2</v>
      </c>
      <c r="P551" s="30"/>
    </row>
    <row r="552" spans="1:16" x14ac:dyDescent="0.25">
      <c r="A552" s="9" t="s">
        <v>152</v>
      </c>
      <c r="B552" s="9"/>
      <c r="C552" s="9" t="s">
        <v>342</v>
      </c>
      <c r="D552" s="61">
        <f>D550*$D$536</f>
        <v>0.52499999999999991</v>
      </c>
      <c r="E552" s="61">
        <f t="shared" ref="E552:O552" si="218">E550*$D$536</f>
        <v>0.52499999999999991</v>
      </c>
      <c r="F552" s="61">
        <f t="shared" si="218"/>
        <v>0.52499999999999991</v>
      </c>
      <c r="G552" s="61">
        <f t="shared" si="218"/>
        <v>0.52499999999999991</v>
      </c>
      <c r="H552" s="61">
        <f t="shared" si="218"/>
        <v>0.52499999999999991</v>
      </c>
      <c r="I552" s="61">
        <f t="shared" si="218"/>
        <v>0.52499999999999991</v>
      </c>
      <c r="J552" s="61">
        <f t="shared" si="218"/>
        <v>0.52499999999999991</v>
      </c>
      <c r="K552" s="61">
        <f t="shared" si="218"/>
        <v>0.52499999999999991</v>
      </c>
      <c r="L552" s="61">
        <f t="shared" si="218"/>
        <v>0.52499999999999991</v>
      </c>
      <c r="M552" s="61">
        <f t="shared" si="218"/>
        <v>0.52499999999999991</v>
      </c>
      <c r="N552" s="61">
        <f t="shared" si="218"/>
        <v>0.52499999999999991</v>
      </c>
      <c r="O552" s="61">
        <f t="shared" si="218"/>
        <v>0.52499999999999991</v>
      </c>
      <c r="P552" s="30"/>
    </row>
    <row r="553" spans="1:16" x14ac:dyDescent="0.25">
      <c r="A553" s="33"/>
      <c r="B553" s="33"/>
      <c r="C553" s="33"/>
      <c r="P553" s="30"/>
    </row>
    <row r="554" spans="1:16" x14ac:dyDescent="0.25">
      <c r="A554" t="s">
        <v>210</v>
      </c>
      <c r="B554" t="s">
        <v>343</v>
      </c>
      <c r="C554" t="s">
        <v>229</v>
      </c>
      <c r="D554" s="60">
        <f>$D549*D$520*D$519</f>
        <v>0</v>
      </c>
      <c r="E554" s="60">
        <f t="shared" ref="E554:O554" si="219">$D549*E$520*E$519</f>
        <v>0</v>
      </c>
      <c r="F554" s="60">
        <f t="shared" si="219"/>
        <v>0</v>
      </c>
      <c r="G554" s="60">
        <f t="shared" si="219"/>
        <v>0</v>
      </c>
      <c r="H554" s="60">
        <f t="shared" si="219"/>
        <v>0</v>
      </c>
      <c r="I554" s="60">
        <f t="shared" si="219"/>
        <v>0</v>
      </c>
      <c r="J554" s="60">
        <f t="shared" si="219"/>
        <v>0</v>
      </c>
      <c r="K554" s="60">
        <f t="shared" si="219"/>
        <v>0</v>
      </c>
      <c r="L554" s="60">
        <f t="shared" si="219"/>
        <v>0</v>
      </c>
      <c r="M554" s="60">
        <f t="shared" si="219"/>
        <v>0</v>
      </c>
      <c r="N554" s="60">
        <f t="shared" si="219"/>
        <v>0</v>
      </c>
      <c r="O554" s="60">
        <f t="shared" si="219"/>
        <v>0</v>
      </c>
      <c r="P554" s="30"/>
    </row>
    <row r="555" spans="1:16" x14ac:dyDescent="0.25">
      <c r="A555" t="s">
        <v>211</v>
      </c>
      <c r="B555" t="s">
        <v>343</v>
      </c>
      <c r="C555" t="s">
        <v>229</v>
      </c>
      <c r="D555" s="60">
        <f>D550*D520*D519</f>
        <v>0</v>
      </c>
      <c r="E555" s="60">
        <f t="shared" ref="E555:O555" si="220">E550*E520*E519</f>
        <v>0</v>
      </c>
      <c r="F555" s="60">
        <f t="shared" si="220"/>
        <v>0</v>
      </c>
      <c r="G555" s="60">
        <f t="shared" si="220"/>
        <v>0</v>
      </c>
      <c r="H555" s="60">
        <f t="shared" si="220"/>
        <v>0</v>
      </c>
      <c r="I555" s="60">
        <f t="shared" si="220"/>
        <v>0</v>
      </c>
      <c r="J555" s="60">
        <f t="shared" si="220"/>
        <v>0</v>
      </c>
      <c r="K555" s="60">
        <f t="shared" si="220"/>
        <v>0</v>
      </c>
      <c r="L555" s="60">
        <f t="shared" si="220"/>
        <v>0</v>
      </c>
      <c r="M555" s="60">
        <f t="shared" si="220"/>
        <v>0</v>
      </c>
      <c r="N555" s="60">
        <f t="shared" si="220"/>
        <v>0</v>
      </c>
      <c r="O555" s="60">
        <f t="shared" si="220"/>
        <v>0</v>
      </c>
      <c r="P555" s="30"/>
    </row>
    <row r="556" spans="1:16" x14ac:dyDescent="0.25">
      <c r="A556" t="s">
        <v>212</v>
      </c>
      <c r="B556" t="s">
        <v>343</v>
      </c>
      <c r="C556" t="s">
        <v>229</v>
      </c>
      <c r="D556" s="60">
        <f>D551*D520*D519</f>
        <v>0</v>
      </c>
      <c r="E556" s="60">
        <f t="shared" ref="E556:O556" si="221">E551*E520*E519</f>
        <v>0</v>
      </c>
      <c r="F556" s="60">
        <f t="shared" si="221"/>
        <v>0</v>
      </c>
      <c r="G556" s="60">
        <f t="shared" si="221"/>
        <v>0</v>
      </c>
      <c r="H556" s="60">
        <f t="shared" si="221"/>
        <v>0</v>
      </c>
      <c r="I556" s="60">
        <f t="shared" si="221"/>
        <v>0</v>
      </c>
      <c r="J556" s="60">
        <f t="shared" si="221"/>
        <v>0</v>
      </c>
      <c r="K556" s="60">
        <f t="shared" si="221"/>
        <v>0</v>
      </c>
      <c r="L556" s="60">
        <f t="shared" si="221"/>
        <v>0</v>
      </c>
      <c r="M556" s="60">
        <f t="shared" si="221"/>
        <v>0</v>
      </c>
      <c r="N556" s="60">
        <f t="shared" si="221"/>
        <v>0</v>
      </c>
      <c r="O556" s="60">
        <f t="shared" si="221"/>
        <v>0</v>
      </c>
      <c r="P556" s="30"/>
    </row>
    <row r="557" spans="1:16" x14ac:dyDescent="0.25">
      <c r="P557" s="30"/>
    </row>
    <row r="558" spans="1:16" x14ac:dyDescent="0.25">
      <c r="A558" s="44" t="s">
        <v>237</v>
      </c>
      <c r="B558" s="44" t="s">
        <v>344</v>
      </c>
      <c r="C558" s="44" t="s">
        <v>239</v>
      </c>
      <c r="D558" s="63">
        <f>D552*D520*D519</f>
        <v>0</v>
      </c>
      <c r="E558" s="63">
        <f t="shared" ref="E558:K558" si="222">E552*E520*E519</f>
        <v>0</v>
      </c>
      <c r="F558" s="63">
        <f t="shared" si="222"/>
        <v>0</v>
      </c>
      <c r="G558" s="63">
        <f t="shared" si="222"/>
        <v>0</v>
      </c>
      <c r="H558" s="63">
        <f t="shared" si="222"/>
        <v>0</v>
      </c>
      <c r="I558" s="63">
        <f t="shared" si="222"/>
        <v>0</v>
      </c>
      <c r="J558" s="63">
        <f t="shared" si="222"/>
        <v>0</v>
      </c>
      <c r="K558" s="63">
        <f t="shared" si="222"/>
        <v>0</v>
      </c>
      <c r="L558" s="63">
        <f>L552*L520*L519</f>
        <v>0</v>
      </c>
      <c r="M558" s="63">
        <f t="shared" ref="M558:O558" si="223">M552*M520*M519</f>
        <v>0</v>
      </c>
      <c r="N558" s="63">
        <f t="shared" si="223"/>
        <v>0</v>
      </c>
      <c r="O558" s="63">
        <f t="shared" si="223"/>
        <v>0</v>
      </c>
      <c r="P558" s="30"/>
    </row>
    <row r="559" spans="1:16" x14ac:dyDescent="0.25">
      <c r="A559" s="44" t="s">
        <v>245</v>
      </c>
      <c r="B559" s="44"/>
      <c r="C559" s="44" t="s">
        <v>229</v>
      </c>
      <c r="D559" s="63">
        <f>D556+D554</f>
        <v>0</v>
      </c>
      <c r="E559" s="63">
        <f t="shared" ref="E559:O559" si="224">E556+E554</f>
        <v>0</v>
      </c>
      <c r="F559" s="63">
        <f t="shared" si="224"/>
        <v>0</v>
      </c>
      <c r="G559" s="63">
        <f t="shared" si="224"/>
        <v>0</v>
      </c>
      <c r="H559" s="63">
        <f t="shared" si="224"/>
        <v>0</v>
      </c>
      <c r="I559" s="63">
        <f t="shared" si="224"/>
        <v>0</v>
      </c>
      <c r="J559" s="63">
        <f t="shared" si="224"/>
        <v>0</v>
      </c>
      <c r="K559" s="63">
        <f t="shared" si="224"/>
        <v>0</v>
      </c>
      <c r="L559" s="63">
        <f t="shared" si="224"/>
        <v>0</v>
      </c>
      <c r="M559" s="63">
        <f t="shared" si="224"/>
        <v>0</v>
      </c>
      <c r="N559" s="63">
        <f t="shared" si="224"/>
        <v>0</v>
      </c>
      <c r="O559" s="63">
        <f t="shared" si="224"/>
        <v>0</v>
      </c>
      <c r="P559" s="30"/>
    </row>
    <row r="560" spans="1:16" x14ac:dyDescent="0.25">
      <c r="A560" s="44"/>
      <c r="B560" s="44"/>
      <c r="C560" s="44"/>
      <c r="P560" s="30"/>
    </row>
    <row r="561" spans="1:16" x14ac:dyDescent="0.25">
      <c r="A561" s="9" t="s">
        <v>241</v>
      </c>
      <c r="B561" s="9" t="s">
        <v>240</v>
      </c>
      <c r="C561" s="9" t="s">
        <v>246</v>
      </c>
      <c r="D561" s="60">
        <f>(D521+D527)*$D$533</f>
        <v>0</v>
      </c>
      <c r="E561" s="60">
        <f t="shared" ref="E561:O561" si="225">(E521+E527)*$D$533</f>
        <v>0</v>
      </c>
      <c r="F561" s="60">
        <f t="shared" si="225"/>
        <v>0</v>
      </c>
      <c r="G561" s="60">
        <f t="shared" si="225"/>
        <v>0</v>
      </c>
      <c r="H561" s="60">
        <f t="shared" si="225"/>
        <v>0</v>
      </c>
      <c r="I561" s="60">
        <f t="shared" si="225"/>
        <v>0</v>
      </c>
      <c r="J561" s="60">
        <f t="shared" si="225"/>
        <v>0</v>
      </c>
      <c r="K561" s="60">
        <f t="shared" si="225"/>
        <v>0</v>
      </c>
      <c r="L561" s="60">
        <f t="shared" si="225"/>
        <v>0</v>
      </c>
      <c r="M561" s="60">
        <f t="shared" si="225"/>
        <v>0</v>
      </c>
      <c r="N561" s="60">
        <f t="shared" si="225"/>
        <v>0</v>
      </c>
      <c r="O561" s="60">
        <f t="shared" si="225"/>
        <v>0</v>
      </c>
      <c r="P561" s="30"/>
    </row>
    <row r="562" spans="1:16" x14ac:dyDescent="0.25">
      <c r="A562" s="9" t="s">
        <v>247</v>
      </c>
      <c r="B562" s="9" t="s">
        <v>248</v>
      </c>
      <c r="C562" s="9" t="s">
        <v>249</v>
      </c>
      <c r="D562" s="60">
        <f t="shared" ref="D562:O563" si="226">(D522+D528)*$D$533</f>
        <v>0</v>
      </c>
      <c r="E562" s="60">
        <f t="shared" si="226"/>
        <v>0</v>
      </c>
      <c r="F562" s="60">
        <f t="shared" si="226"/>
        <v>0</v>
      </c>
      <c r="G562" s="60">
        <f t="shared" si="226"/>
        <v>0</v>
      </c>
      <c r="H562" s="60">
        <f t="shared" si="226"/>
        <v>0</v>
      </c>
      <c r="I562" s="60">
        <f t="shared" si="226"/>
        <v>0</v>
      </c>
      <c r="J562" s="60">
        <f t="shared" si="226"/>
        <v>0</v>
      </c>
      <c r="K562" s="60">
        <f t="shared" si="226"/>
        <v>0</v>
      </c>
      <c r="L562" s="60">
        <f t="shared" si="226"/>
        <v>0</v>
      </c>
      <c r="M562" s="60">
        <f t="shared" si="226"/>
        <v>0</v>
      </c>
      <c r="N562" s="60">
        <f t="shared" si="226"/>
        <v>0</v>
      </c>
      <c r="O562" s="60">
        <f t="shared" si="226"/>
        <v>0</v>
      </c>
      <c r="P562" s="30"/>
    </row>
    <row r="563" spans="1:16" x14ac:dyDescent="0.25">
      <c r="A563" s="9" t="s">
        <v>250</v>
      </c>
      <c r="B563" s="9" t="s">
        <v>251</v>
      </c>
      <c r="C563" s="9" t="s">
        <v>252</v>
      </c>
      <c r="D563" s="60">
        <f t="shared" si="226"/>
        <v>0</v>
      </c>
      <c r="E563" s="60">
        <f t="shared" si="226"/>
        <v>0</v>
      </c>
      <c r="F563" s="60">
        <f t="shared" si="226"/>
        <v>0</v>
      </c>
      <c r="G563" s="60">
        <f t="shared" si="226"/>
        <v>0</v>
      </c>
      <c r="H563" s="60">
        <f t="shared" si="226"/>
        <v>0</v>
      </c>
      <c r="I563" s="60">
        <f t="shared" si="226"/>
        <v>0</v>
      </c>
      <c r="J563" s="60">
        <f t="shared" si="226"/>
        <v>0</v>
      </c>
      <c r="K563" s="60">
        <f t="shared" si="226"/>
        <v>0</v>
      </c>
      <c r="L563" s="60">
        <f t="shared" si="226"/>
        <v>0</v>
      </c>
      <c r="M563" s="60">
        <f t="shared" si="226"/>
        <v>0</v>
      </c>
      <c r="N563" s="60">
        <f t="shared" si="226"/>
        <v>0</v>
      </c>
      <c r="O563" s="60">
        <f t="shared" si="226"/>
        <v>0</v>
      </c>
      <c r="P563" s="30"/>
    </row>
    <row r="564" spans="1:16" x14ac:dyDescent="0.25">
      <c r="A564" s="9"/>
      <c r="B564" s="9"/>
      <c r="C564" s="9"/>
      <c r="P564" s="30"/>
    </row>
    <row r="565" spans="1:16" x14ac:dyDescent="0.25">
      <c r="A565" s="9" t="s">
        <v>253</v>
      </c>
      <c r="B565" s="9" t="s">
        <v>306</v>
      </c>
      <c r="C565" s="9" t="s">
        <v>246</v>
      </c>
      <c r="D565" s="60">
        <f>(D521+D527)*$D$534</f>
        <v>0</v>
      </c>
      <c r="E565" s="60">
        <f t="shared" ref="E565:O565" si="227">(E521+E527)*$D$534</f>
        <v>0</v>
      </c>
      <c r="F565" s="60">
        <f t="shared" si="227"/>
        <v>0</v>
      </c>
      <c r="G565" s="60">
        <f t="shared" si="227"/>
        <v>0</v>
      </c>
      <c r="H565" s="60">
        <f t="shared" si="227"/>
        <v>0</v>
      </c>
      <c r="I565" s="60">
        <f t="shared" si="227"/>
        <v>0</v>
      </c>
      <c r="J565" s="60">
        <f t="shared" si="227"/>
        <v>0</v>
      </c>
      <c r="K565" s="60">
        <f t="shared" si="227"/>
        <v>0</v>
      </c>
      <c r="L565" s="60">
        <f t="shared" si="227"/>
        <v>0</v>
      </c>
      <c r="M565" s="60">
        <f t="shared" si="227"/>
        <v>0</v>
      </c>
      <c r="N565" s="60">
        <f t="shared" si="227"/>
        <v>0</v>
      </c>
      <c r="O565" s="60">
        <f t="shared" si="227"/>
        <v>0</v>
      </c>
      <c r="P565" s="30"/>
    </row>
    <row r="566" spans="1:16" x14ac:dyDescent="0.25">
      <c r="A566" s="9" t="s">
        <v>254</v>
      </c>
      <c r="B566" s="9" t="s">
        <v>307</v>
      </c>
      <c r="C566" s="9" t="s">
        <v>249</v>
      </c>
      <c r="D566" s="60">
        <f t="shared" ref="D566:O567" si="228">(D522+D528)*$D$534</f>
        <v>0</v>
      </c>
      <c r="E566" s="60">
        <f t="shared" si="228"/>
        <v>0</v>
      </c>
      <c r="F566" s="60">
        <f t="shared" si="228"/>
        <v>0</v>
      </c>
      <c r="G566" s="60">
        <f t="shared" si="228"/>
        <v>0</v>
      </c>
      <c r="H566" s="60">
        <f t="shared" si="228"/>
        <v>0</v>
      </c>
      <c r="I566" s="60">
        <f t="shared" si="228"/>
        <v>0</v>
      </c>
      <c r="J566" s="60">
        <f t="shared" si="228"/>
        <v>0</v>
      </c>
      <c r="K566" s="60">
        <f t="shared" si="228"/>
        <v>0</v>
      </c>
      <c r="L566" s="60">
        <f t="shared" si="228"/>
        <v>0</v>
      </c>
      <c r="M566" s="60">
        <f t="shared" si="228"/>
        <v>0</v>
      </c>
      <c r="N566" s="60">
        <f t="shared" si="228"/>
        <v>0</v>
      </c>
      <c r="O566" s="60">
        <f t="shared" si="228"/>
        <v>0</v>
      </c>
      <c r="P566" s="30"/>
    </row>
    <row r="567" spans="1:16" x14ac:dyDescent="0.25">
      <c r="A567" s="9" t="s">
        <v>255</v>
      </c>
      <c r="B567" s="9" t="s">
        <v>308</v>
      </c>
      <c r="C567" s="9" t="s">
        <v>252</v>
      </c>
      <c r="D567" s="60">
        <f t="shared" si="228"/>
        <v>0</v>
      </c>
      <c r="E567" s="60">
        <f t="shared" si="228"/>
        <v>0</v>
      </c>
      <c r="F567" s="60">
        <f t="shared" si="228"/>
        <v>0</v>
      </c>
      <c r="G567" s="60">
        <f t="shared" si="228"/>
        <v>0</v>
      </c>
      <c r="H567" s="60">
        <f t="shared" si="228"/>
        <v>0</v>
      </c>
      <c r="I567" s="60">
        <f t="shared" si="228"/>
        <v>0</v>
      </c>
      <c r="J567" s="60">
        <f t="shared" si="228"/>
        <v>0</v>
      </c>
      <c r="K567" s="60">
        <f t="shared" si="228"/>
        <v>0</v>
      </c>
      <c r="L567" s="60">
        <f t="shared" si="228"/>
        <v>0</v>
      </c>
      <c r="M567" s="60">
        <f t="shared" si="228"/>
        <v>0</v>
      </c>
      <c r="N567" s="60">
        <f t="shared" si="228"/>
        <v>0</v>
      </c>
      <c r="O567" s="60">
        <f t="shared" si="228"/>
        <v>0</v>
      </c>
      <c r="P567" s="30"/>
    </row>
    <row r="568" spans="1:16" x14ac:dyDescent="0.25">
      <c r="A568" s="9"/>
      <c r="B568" s="9"/>
      <c r="C568" s="9"/>
      <c r="D568" s="60"/>
      <c r="E568" s="60"/>
      <c r="F568" s="60"/>
      <c r="G568" s="60"/>
      <c r="H568" s="60"/>
      <c r="I568" s="60"/>
      <c r="J568" s="60"/>
      <c r="K568" s="60"/>
      <c r="L568" s="60"/>
      <c r="M568" s="60"/>
      <c r="N568" s="60"/>
      <c r="O568" s="60"/>
      <c r="P568" s="30"/>
    </row>
    <row r="569" spans="1:16" x14ac:dyDescent="0.25">
      <c r="A569" s="9" t="s">
        <v>256</v>
      </c>
      <c r="B569" s="9" t="s">
        <v>737</v>
      </c>
      <c r="C569" s="9" t="s">
        <v>246</v>
      </c>
      <c r="D569" s="34">
        <f>D565*$D538</f>
        <v>0</v>
      </c>
      <c r="E569" s="34">
        <f t="shared" ref="E569:O569" si="229">E565*$D538</f>
        <v>0</v>
      </c>
      <c r="F569" s="34">
        <f t="shared" si="229"/>
        <v>0</v>
      </c>
      <c r="G569" s="34">
        <f t="shared" si="229"/>
        <v>0</v>
      </c>
      <c r="H569" s="34">
        <f t="shared" si="229"/>
        <v>0</v>
      </c>
      <c r="I569" s="34">
        <f t="shared" si="229"/>
        <v>0</v>
      </c>
      <c r="J569" s="34">
        <f t="shared" si="229"/>
        <v>0</v>
      </c>
      <c r="K569" s="34">
        <f t="shared" si="229"/>
        <v>0</v>
      </c>
      <c r="L569" s="34">
        <f t="shared" si="229"/>
        <v>0</v>
      </c>
      <c r="M569" s="34">
        <f t="shared" si="229"/>
        <v>0</v>
      </c>
      <c r="N569" s="34">
        <f t="shared" si="229"/>
        <v>0</v>
      </c>
      <c r="O569" s="34">
        <f t="shared" si="229"/>
        <v>0</v>
      </c>
      <c r="P569" s="30"/>
    </row>
    <row r="570" spans="1:16" x14ac:dyDescent="0.25">
      <c r="A570" s="9" t="s">
        <v>257</v>
      </c>
      <c r="B570" s="9" t="s">
        <v>738</v>
      </c>
      <c r="C570" s="9" t="s">
        <v>249</v>
      </c>
      <c r="D570" s="34">
        <f>D566*$D539</f>
        <v>0</v>
      </c>
      <c r="E570" s="34">
        <f t="shared" ref="E570:O570" si="230">E566*$D539</f>
        <v>0</v>
      </c>
      <c r="F570" s="34">
        <f t="shared" si="230"/>
        <v>0</v>
      </c>
      <c r="G570" s="34">
        <f t="shared" si="230"/>
        <v>0</v>
      </c>
      <c r="H570" s="34">
        <f t="shared" si="230"/>
        <v>0</v>
      </c>
      <c r="I570" s="34">
        <f t="shared" si="230"/>
        <v>0</v>
      </c>
      <c r="J570" s="34">
        <f t="shared" si="230"/>
        <v>0</v>
      </c>
      <c r="K570" s="34">
        <f t="shared" si="230"/>
        <v>0</v>
      </c>
      <c r="L570" s="34">
        <f t="shared" si="230"/>
        <v>0</v>
      </c>
      <c r="M570" s="34">
        <f t="shared" si="230"/>
        <v>0</v>
      </c>
      <c r="N570" s="34">
        <f t="shared" si="230"/>
        <v>0</v>
      </c>
      <c r="O570" s="34">
        <f t="shared" si="230"/>
        <v>0</v>
      </c>
      <c r="P570" s="30"/>
    </row>
    <row r="571" spans="1:16" x14ac:dyDescent="0.25">
      <c r="A571" s="9" t="s">
        <v>258</v>
      </c>
      <c r="B571" s="9" t="s">
        <v>739</v>
      </c>
      <c r="C571" s="9" t="s">
        <v>252</v>
      </c>
      <c r="D571" s="34">
        <f>D567*$D540</f>
        <v>0</v>
      </c>
      <c r="E571" s="34">
        <f t="shared" ref="E571:O571" si="231">E567*$D540</f>
        <v>0</v>
      </c>
      <c r="F571" s="34">
        <f t="shared" si="231"/>
        <v>0</v>
      </c>
      <c r="G571" s="34">
        <f t="shared" si="231"/>
        <v>0</v>
      </c>
      <c r="H571" s="34">
        <f t="shared" si="231"/>
        <v>0</v>
      </c>
      <c r="I571" s="34">
        <f t="shared" si="231"/>
        <v>0</v>
      </c>
      <c r="J571" s="34">
        <f t="shared" si="231"/>
        <v>0</v>
      </c>
      <c r="K571" s="34">
        <f t="shared" si="231"/>
        <v>0</v>
      </c>
      <c r="L571" s="34">
        <f t="shared" si="231"/>
        <v>0</v>
      </c>
      <c r="M571" s="34">
        <f t="shared" si="231"/>
        <v>0</v>
      </c>
      <c r="N571" s="34">
        <f t="shared" si="231"/>
        <v>0</v>
      </c>
      <c r="O571" s="34">
        <f t="shared" si="231"/>
        <v>0</v>
      </c>
      <c r="P571" s="30"/>
    </row>
    <row r="572" spans="1:16" x14ac:dyDescent="0.25">
      <c r="A572" s="9"/>
      <c r="B572" s="9"/>
      <c r="C572" s="9"/>
      <c r="D572" s="34"/>
      <c r="E572" s="34"/>
      <c r="F572" s="34"/>
      <c r="G572" s="34"/>
      <c r="H572" s="34"/>
      <c r="I572" s="34"/>
      <c r="J572" s="34"/>
      <c r="K572" s="34"/>
      <c r="L572" s="34"/>
      <c r="M572" s="34"/>
      <c r="N572" s="34"/>
      <c r="O572" s="34"/>
      <c r="P572" s="30"/>
    </row>
    <row r="573" spans="1:16" x14ac:dyDescent="0.25">
      <c r="A573" s="9" t="s">
        <v>740</v>
      </c>
      <c r="B573" s="9" t="s">
        <v>743</v>
      </c>
      <c r="C573" s="9" t="s">
        <v>246</v>
      </c>
      <c r="D573" s="34">
        <f>D565-D569</f>
        <v>0</v>
      </c>
      <c r="E573" s="34">
        <f t="shared" ref="E573:O573" si="232">E565-E569</f>
        <v>0</v>
      </c>
      <c r="F573" s="34">
        <f t="shared" si="232"/>
        <v>0</v>
      </c>
      <c r="G573" s="34">
        <f t="shared" si="232"/>
        <v>0</v>
      </c>
      <c r="H573" s="34">
        <f t="shared" si="232"/>
        <v>0</v>
      </c>
      <c r="I573" s="34">
        <f t="shared" si="232"/>
        <v>0</v>
      </c>
      <c r="J573" s="34">
        <f t="shared" si="232"/>
        <v>0</v>
      </c>
      <c r="K573" s="34">
        <f t="shared" si="232"/>
        <v>0</v>
      </c>
      <c r="L573" s="34">
        <f t="shared" si="232"/>
        <v>0</v>
      </c>
      <c r="M573" s="34">
        <f t="shared" si="232"/>
        <v>0</v>
      </c>
      <c r="N573" s="34">
        <f t="shared" si="232"/>
        <v>0</v>
      </c>
      <c r="O573" s="34">
        <f t="shared" si="232"/>
        <v>0</v>
      </c>
      <c r="P573" s="30"/>
    </row>
    <row r="574" spans="1:16" x14ac:dyDescent="0.25">
      <c r="A574" s="9" t="s">
        <v>741</v>
      </c>
      <c r="B574" s="9" t="s">
        <v>744</v>
      </c>
      <c r="C574" s="9" t="s">
        <v>249</v>
      </c>
      <c r="D574" s="34">
        <f t="shared" ref="D574:O575" si="233">D566-D570</f>
        <v>0</v>
      </c>
      <c r="E574" s="34">
        <f t="shared" si="233"/>
        <v>0</v>
      </c>
      <c r="F574" s="34">
        <f t="shared" si="233"/>
        <v>0</v>
      </c>
      <c r="G574" s="34">
        <f t="shared" si="233"/>
        <v>0</v>
      </c>
      <c r="H574" s="34">
        <f t="shared" si="233"/>
        <v>0</v>
      </c>
      <c r="I574" s="34">
        <f t="shared" si="233"/>
        <v>0</v>
      </c>
      <c r="J574" s="34">
        <f t="shared" si="233"/>
        <v>0</v>
      </c>
      <c r="K574" s="34">
        <f t="shared" si="233"/>
        <v>0</v>
      </c>
      <c r="L574" s="34">
        <f t="shared" si="233"/>
        <v>0</v>
      </c>
      <c r="M574" s="34">
        <f t="shared" si="233"/>
        <v>0</v>
      </c>
      <c r="N574" s="34">
        <f t="shared" si="233"/>
        <v>0</v>
      </c>
      <c r="O574" s="34">
        <f t="shared" si="233"/>
        <v>0</v>
      </c>
      <c r="P574" s="30"/>
    </row>
    <row r="575" spans="1:16" x14ac:dyDescent="0.25">
      <c r="A575" s="9" t="s">
        <v>742</v>
      </c>
      <c r="B575" s="9" t="s">
        <v>745</v>
      </c>
      <c r="C575" s="9" t="s">
        <v>252</v>
      </c>
      <c r="D575" s="34">
        <f t="shared" si="233"/>
        <v>0</v>
      </c>
      <c r="E575" s="34">
        <f t="shared" si="233"/>
        <v>0</v>
      </c>
      <c r="F575" s="34">
        <f t="shared" si="233"/>
        <v>0</v>
      </c>
      <c r="G575" s="34">
        <f t="shared" si="233"/>
        <v>0</v>
      </c>
      <c r="H575" s="34">
        <f t="shared" si="233"/>
        <v>0</v>
      </c>
      <c r="I575" s="34">
        <f t="shared" si="233"/>
        <v>0</v>
      </c>
      <c r="J575" s="34">
        <f t="shared" si="233"/>
        <v>0</v>
      </c>
      <c r="K575" s="34">
        <f t="shared" si="233"/>
        <v>0</v>
      </c>
      <c r="L575" s="34">
        <f t="shared" si="233"/>
        <v>0</v>
      </c>
      <c r="M575" s="34">
        <f t="shared" si="233"/>
        <v>0</v>
      </c>
      <c r="N575" s="34">
        <f t="shared" si="233"/>
        <v>0</v>
      </c>
      <c r="O575" s="34">
        <f t="shared" si="233"/>
        <v>0</v>
      </c>
      <c r="P575" s="30"/>
    </row>
    <row r="576" spans="1:16" x14ac:dyDescent="0.25">
      <c r="D576" s="34"/>
      <c r="E576" s="34"/>
      <c r="F576" s="34"/>
      <c r="G576" s="34"/>
      <c r="H576" s="34"/>
      <c r="I576" s="34"/>
      <c r="J576" s="34"/>
      <c r="K576" s="34"/>
      <c r="L576" s="34"/>
      <c r="M576" s="34"/>
      <c r="N576" s="34"/>
      <c r="O576" s="34"/>
      <c r="P576" s="30"/>
    </row>
    <row r="577" spans="1:16" x14ac:dyDescent="0.25">
      <c r="A577" s="5" t="s">
        <v>259</v>
      </c>
      <c r="B577" s="9" t="s">
        <v>260</v>
      </c>
      <c r="C577" s="33"/>
      <c r="D577" s="34"/>
      <c r="E577" s="34"/>
      <c r="F577" s="34"/>
      <c r="G577" s="34"/>
      <c r="H577" s="34"/>
      <c r="I577" s="34"/>
      <c r="J577" s="34"/>
      <c r="K577" s="34"/>
      <c r="L577" s="34"/>
      <c r="M577" s="34"/>
      <c r="N577" s="34"/>
      <c r="O577" s="34"/>
      <c r="P577" s="30"/>
    </row>
    <row r="578" spans="1:16" x14ac:dyDescent="0.25">
      <c r="A578" s="5" t="s">
        <v>58</v>
      </c>
      <c r="B578" s="44" t="s">
        <v>261</v>
      </c>
      <c r="C578" s="5" t="s">
        <v>233</v>
      </c>
      <c r="D578" s="70">
        <f>IF(D$559&lt;=0,0,(D561+D569)/D$559)</f>
        <v>0</v>
      </c>
      <c r="E578" s="70">
        <f t="shared" ref="E578:O578" si="234">IF(E$559&lt;=0,0,(E561+E569)/E$559)</f>
        <v>0</v>
      </c>
      <c r="F578" s="70">
        <f t="shared" si="234"/>
        <v>0</v>
      </c>
      <c r="G578" s="70">
        <f t="shared" si="234"/>
        <v>0</v>
      </c>
      <c r="H578" s="70">
        <f t="shared" si="234"/>
        <v>0</v>
      </c>
      <c r="I578" s="70">
        <f t="shared" si="234"/>
        <v>0</v>
      </c>
      <c r="J578" s="70">
        <f t="shared" si="234"/>
        <v>0</v>
      </c>
      <c r="K578" s="70">
        <f t="shared" si="234"/>
        <v>0</v>
      </c>
      <c r="L578" s="70">
        <f t="shared" si="234"/>
        <v>0</v>
      </c>
      <c r="M578" s="70">
        <f t="shared" si="234"/>
        <v>0</v>
      </c>
      <c r="N578" s="70">
        <f t="shared" si="234"/>
        <v>0</v>
      </c>
      <c r="O578" s="70">
        <f t="shared" si="234"/>
        <v>0</v>
      </c>
      <c r="P578" s="30" t="s">
        <v>364</v>
      </c>
    </row>
    <row r="579" spans="1:16" x14ac:dyDescent="0.25">
      <c r="A579" s="5" t="s">
        <v>59</v>
      </c>
      <c r="B579" s="5"/>
      <c r="C579" s="5" t="s">
        <v>234</v>
      </c>
      <c r="D579" s="70">
        <f t="shared" ref="D579:O580" si="235">IF(D$559&lt;=0,0,(D562+D570)/D$559)</f>
        <v>0</v>
      </c>
      <c r="E579" s="70">
        <f t="shared" si="235"/>
        <v>0</v>
      </c>
      <c r="F579" s="70">
        <f t="shared" si="235"/>
        <v>0</v>
      </c>
      <c r="G579" s="70">
        <f t="shared" si="235"/>
        <v>0</v>
      </c>
      <c r="H579" s="70">
        <f t="shared" si="235"/>
        <v>0</v>
      </c>
      <c r="I579" s="70">
        <f t="shared" si="235"/>
        <v>0</v>
      </c>
      <c r="J579" s="70">
        <f t="shared" si="235"/>
        <v>0</v>
      </c>
      <c r="K579" s="70">
        <f t="shared" si="235"/>
        <v>0</v>
      </c>
      <c r="L579" s="70">
        <f t="shared" si="235"/>
        <v>0</v>
      </c>
      <c r="M579" s="70">
        <f t="shared" si="235"/>
        <v>0</v>
      </c>
      <c r="N579" s="70">
        <f t="shared" si="235"/>
        <v>0</v>
      </c>
      <c r="O579" s="70">
        <f t="shared" si="235"/>
        <v>0</v>
      </c>
      <c r="P579" s="30"/>
    </row>
    <row r="580" spans="1:16" x14ac:dyDescent="0.25">
      <c r="A580" s="5" t="s">
        <v>60</v>
      </c>
      <c r="B580" s="5"/>
      <c r="C580" s="5" t="s">
        <v>235</v>
      </c>
      <c r="D580" s="70">
        <f t="shared" si="235"/>
        <v>0</v>
      </c>
      <c r="E580" s="70">
        <f t="shared" si="235"/>
        <v>0</v>
      </c>
      <c r="F580" s="70">
        <f t="shared" si="235"/>
        <v>0</v>
      </c>
      <c r="G580" s="70">
        <f t="shared" si="235"/>
        <v>0</v>
      </c>
      <c r="H580" s="70">
        <f t="shared" si="235"/>
        <v>0</v>
      </c>
      <c r="I580" s="70">
        <f t="shared" si="235"/>
        <v>0</v>
      </c>
      <c r="J580" s="70">
        <f t="shared" si="235"/>
        <v>0</v>
      </c>
      <c r="K580" s="70">
        <f t="shared" si="235"/>
        <v>0</v>
      </c>
      <c r="L580" s="70">
        <f t="shared" si="235"/>
        <v>0</v>
      </c>
      <c r="M580" s="70">
        <f t="shared" si="235"/>
        <v>0</v>
      </c>
      <c r="N580" s="70">
        <f t="shared" si="235"/>
        <v>0</v>
      </c>
      <c r="O580" s="70">
        <f t="shared" si="235"/>
        <v>0</v>
      </c>
      <c r="P580" s="30"/>
    </row>
    <row r="581" spans="1:16" x14ac:dyDescent="0.25">
      <c r="A581" s="33"/>
      <c r="B581" s="33"/>
      <c r="C581" s="33"/>
      <c r="D581" s="70"/>
      <c r="E581" s="70"/>
      <c r="F581" s="70"/>
      <c r="G581" s="70"/>
      <c r="H581" s="70"/>
      <c r="I581" s="70"/>
      <c r="J581" s="70"/>
      <c r="K581" s="70"/>
      <c r="L581" s="70"/>
      <c r="M581" s="70"/>
      <c r="N581" s="70"/>
      <c r="O581" s="70"/>
      <c r="P581" s="30"/>
    </row>
    <row r="582" spans="1:16" x14ac:dyDescent="0.25">
      <c r="A582" s="5" t="s">
        <v>236</v>
      </c>
      <c r="B582" s="33"/>
      <c r="C582" s="33"/>
      <c r="D582" s="70"/>
      <c r="E582" s="70"/>
      <c r="F582" s="70"/>
      <c r="G582" s="70"/>
      <c r="H582" s="70"/>
      <c r="I582" s="70"/>
      <c r="J582" s="70"/>
      <c r="K582" s="70"/>
      <c r="L582" s="70"/>
      <c r="M582" s="70"/>
      <c r="N582" s="70"/>
      <c r="O582" s="70"/>
      <c r="P582" s="30"/>
    </row>
    <row r="583" spans="1:16" x14ac:dyDescent="0.25">
      <c r="A583" s="5" t="s">
        <v>58</v>
      </c>
      <c r="B583" s="5" t="s">
        <v>746</v>
      </c>
      <c r="C583" s="5" t="s">
        <v>275</v>
      </c>
      <c r="D583" s="70">
        <f>IF(D$558&lt;=0,0,D573/D$558)</f>
        <v>0</v>
      </c>
      <c r="E583" s="70">
        <f t="shared" ref="E583:O583" si="236">IF(E$558&lt;=0,0,E573/E$558)</f>
        <v>0</v>
      </c>
      <c r="F583" s="70">
        <f t="shared" si="236"/>
        <v>0</v>
      </c>
      <c r="G583" s="70">
        <f t="shared" si="236"/>
        <v>0</v>
      </c>
      <c r="H583" s="70">
        <f t="shared" si="236"/>
        <v>0</v>
      </c>
      <c r="I583" s="70">
        <f t="shared" si="236"/>
        <v>0</v>
      </c>
      <c r="J583" s="70">
        <f t="shared" si="236"/>
        <v>0</v>
      </c>
      <c r="K583" s="70">
        <f t="shared" si="236"/>
        <v>0</v>
      </c>
      <c r="L583" s="70">
        <f t="shared" si="236"/>
        <v>0</v>
      </c>
      <c r="M583" s="70">
        <f t="shared" si="236"/>
        <v>0</v>
      </c>
      <c r="N583" s="70">
        <f t="shared" si="236"/>
        <v>0</v>
      </c>
      <c r="O583" s="70">
        <f t="shared" si="236"/>
        <v>0</v>
      </c>
      <c r="P583" s="30" t="s">
        <v>748</v>
      </c>
    </row>
    <row r="584" spans="1:16" x14ac:dyDescent="0.25">
      <c r="A584" s="5" t="s">
        <v>59</v>
      </c>
      <c r="B584" s="5"/>
      <c r="C584" s="5" t="s">
        <v>276</v>
      </c>
      <c r="D584" s="70">
        <f>IF(D$558&lt;=0,0,D574/D$558)</f>
        <v>0</v>
      </c>
      <c r="E584" s="70">
        <f t="shared" ref="E584:O584" si="237">IF(E$558&lt;=0,0,E574/E$558)</f>
        <v>0</v>
      </c>
      <c r="F584" s="70">
        <f t="shared" si="237"/>
        <v>0</v>
      </c>
      <c r="G584" s="70">
        <f t="shared" si="237"/>
        <v>0</v>
      </c>
      <c r="H584" s="70">
        <f t="shared" si="237"/>
        <v>0</v>
      </c>
      <c r="I584" s="70">
        <f t="shared" si="237"/>
        <v>0</v>
      </c>
      <c r="J584" s="70">
        <f t="shared" si="237"/>
        <v>0</v>
      </c>
      <c r="K584" s="70">
        <f t="shared" si="237"/>
        <v>0</v>
      </c>
      <c r="L584" s="70">
        <f t="shared" si="237"/>
        <v>0</v>
      </c>
      <c r="M584" s="70">
        <f t="shared" si="237"/>
        <v>0</v>
      </c>
      <c r="N584" s="70">
        <f t="shared" si="237"/>
        <v>0</v>
      </c>
      <c r="O584" s="70">
        <f t="shared" si="237"/>
        <v>0</v>
      </c>
      <c r="P584" s="30"/>
    </row>
    <row r="585" spans="1:16" x14ac:dyDescent="0.25">
      <c r="A585" s="5" t="s">
        <v>60</v>
      </c>
      <c r="B585" s="5"/>
      <c r="C585" s="5" t="s">
        <v>277</v>
      </c>
      <c r="D585" s="70">
        <f>IF(D$558&lt;=0,0,D575/D$558)</f>
        <v>0</v>
      </c>
      <c r="E585" s="70">
        <f t="shared" ref="E585:O585" si="238">IF(E$558&lt;=0,0,E575/E$558)</f>
        <v>0</v>
      </c>
      <c r="F585" s="70">
        <f t="shared" si="238"/>
        <v>0</v>
      </c>
      <c r="G585" s="70">
        <f t="shared" si="238"/>
        <v>0</v>
      </c>
      <c r="H585" s="70">
        <f t="shared" si="238"/>
        <v>0</v>
      </c>
      <c r="I585" s="70">
        <f t="shared" si="238"/>
        <v>0</v>
      </c>
      <c r="J585" s="70">
        <f t="shared" si="238"/>
        <v>0</v>
      </c>
      <c r="K585" s="70">
        <f t="shared" si="238"/>
        <v>0</v>
      </c>
      <c r="L585" s="70">
        <f t="shared" si="238"/>
        <v>0</v>
      </c>
      <c r="M585" s="70">
        <f t="shared" si="238"/>
        <v>0</v>
      </c>
      <c r="N585" s="70">
        <f t="shared" si="238"/>
        <v>0</v>
      </c>
      <c r="O585" s="70">
        <f t="shared" si="238"/>
        <v>0</v>
      </c>
      <c r="P585" s="30"/>
    </row>
    <row r="586" spans="1:16" x14ac:dyDescent="0.25">
      <c r="P586" s="30"/>
    </row>
    <row r="587" spans="1:16" x14ac:dyDescent="0.25">
      <c r="A587" s="80" t="str">
        <f>param_bovins!C133</f>
        <v>Bovin à l'engrais (&gt; 2 ans)</v>
      </c>
      <c r="B587" s="75"/>
      <c r="C587" s="75"/>
      <c r="D587" s="75" t="s">
        <v>132</v>
      </c>
      <c r="E587" s="75" t="s">
        <v>133</v>
      </c>
      <c r="F587" s="75" t="s">
        <v>134</v>
      </c>
      <c r="G587" s="75" t="s">
        <v>135</v>
      </c>
      <c r="H587" s="75" t="s">
        <v>136</v>
      </c>
      <c r="I587" s="75" t="s">
        <v>137</v>
      </c>
      <c r="J587" s="75" t="s">
        <v>138</v>
      </c>
      <c r="K587" s="75" t="s">
        <v>139</v>
      </c>
      <c r="L587" s="75" t="s">
        <v>140</v>
      </c>
      <c r="M587" s="75" t="s">
        <v>141</v>
      </c>
      <c r="N587" s="75" t="s">
        <v>142</v>
      </c>
      <c r="O587" s="75" t="s">
        <v>143</v>
      </c>
      <c r="P587" s="30"/>
    </row>
    <row r="588" spans="1:16" x14ac:dyDescent="0.25">
      <c r="A588" s="42" t="s">
        <v>280</v>
      </c>
      <c r="B588" s="42"/>
      <c r="C588" s="42"/>
      <c r="D588">
        <f>'Saisie 2_bovins'!G39</f>
        <v>0</v>
      </c>
      <c r="E588">
        <f>'Saisie 2_bovins'!H39</f>
        <v>0</v>
      </c>
      <c r="F588">
        <f>'Saisie 2_bovins'!I39</f>
        <v>0</v>
      </c>
      <c r="G588">
        <f>'Saisie 2_bovins'!J39</f>
        <v>0</v>
      </c>
      <c r="H588">
        <f>'Saisie 2_bovins'!K39</f>
        <v>0</v>
      </c>
      <c r="I588">
        <f>'Saisie 2_bovins'!L39</f>
        <v>0</v>
      </c>
      <c r="J588">
        <f>'Saisie 2_bovins'!M39</f>
        <v>0</v>
      </c>
      <c r="K588">
        <f>'Saisie 2_bovins'!N39</f>
        <v>0</v>
      </c>
      <c r="L588">
        <f>'Saisie 2_bovins'!O39</f>
        <v>0</v>
      </c>
      <c r="M588">
        <f>'Saisie 2_bovins'!P39</f>
        <v>0</v>
      </c>
      <c r="N588">
        <f>'Saisie 2_bovins'!Q39</f>
        <v>0</v>
      </c>
      <c r="O588">
        <f>'Saisie 2_bovins'!R39</f>
        <v>0</v>
      </c>
      <c r="P588" s="30"/>
    </row>
    <row r="589" spans="1:16" x14ac:dyDescent="0.25">
      <c r="A589" t="s">
        <v>151</v>
      </c>
      <c r="B589" t="s">
        <v>328</v>
      </c>
      <c r="C589" t="s">
        <v>312</v>
      </c>
      <c r="D589" s="74">
        <f>IF(D588=param_bovins!$A$143,param_bovins!$H$143*'Saisie 2_bovins'!$D$38+param_bovins!$I$143,IF(Calculs_bovins!D588=param_bovins!$A$144,param_bovins!$H$144*'Saisie 2_bovins'!$D$38+param_bovins!$I$144,IF(Calculs_bovins!D588=param_bovins!$A$145,param_bovins!$H$145*'Saisie 2_bovins'!$D$38+param_bovins!$I$145,IF(D588=param_bovins!$A$146,param_bovins!$H$146*'Saisie 2_bovins'!$D$38+param_bovins!$I$146,0))))</f>
        <v>0</v>
      </c>
      <c r="E589" s="74">
        <f>IF(E588=param_bovins!$A$143,param_bovins!$H$143*'Saisie 2_bovins'!$D$38+param_bovins!$I$143,IF(Calculs_bovins!E588=param_bovins!$A$144,param_bovins!$H$144*'Saisie 2_bovins'!$D$38+param_bovins!$I$144,IF(Calculs_bovins!E588=param_bovins!$A$145,param_bovins!$H$145*'Saisie 2_bovins'!$D$38+param_bovins!$I$145,IF(E588=param_bovins!$A$146,param_bovins!$H$146*'Saisie 2_bovins'!$D$38+param_bovins!$I$146,0))))</f>
        <v>0</v>
      </c>
      <c r="F589" s="74">
        <f>IF(F588=param_bovins!$A$143,param_bovins!$H$143*'Saisie 2_bovins'!$D$38+param_bovins!$I$143,IF(Calculs_bovins!F588=param_bovins!$A$144,param_bovins!$H$144*'Saisie 2_bovins'!$D$38+param_bovins!$I$144,IF(Calculs_bovins!F588=param_bovins!$A$145,param_bovins!$H$145*'Saisie 2_bovins'!$D$38+param_bovins!$I$145,IF(F588=param_bovins!$A$146,param_bovins!$H$146*'Saisie 2_bovins'!$D$38+param_bovins!$I$146,0))))</f>
        <v>0</v>
      </c>
      <c r="G589" s="74">
        <f>IF(G588=param_bovins!$A$143,param_bovins!$H$143*'Saisie 2_bovins'!$D$38+param_bovins!$I$143,IF(Calculs_bovins!G588=param_bovins!$A$144,param_bovins!$H$144*'Saisie 2_bovins'!$D$38+param_bovins!$I$144,IF(Calculs_bovins!G588=param_bovins!$A$145,param_bovins!$H$145*'Saisie 2_bovins'!$D$38+param_bovins!$I$145,IF(G588=param_bovins!$A$146,param_bovins!$H$146*'Saisie 2_bovins'!$D$38+param_bovins!$I$146,0))))</f>
        <v>0</v>
      </c>
      <c r="H589" s="74">
        <f>IF(H588=param_bovins!$A$143,param_bovins!$H$143*'Saisie 2_bovins'!$D$38+param_bovins!$I$143,IF(Calculs_bovins!H588=param_bovins!$A$144,param_bovins!$H$144*'Saisie 2_bovins'!$D$38+param_bovins!$I$144,IF(Calculs_bovins!H588=param_bovins!$A$145,param_bovins!$H$145*'Saisie 2_bovins'!$D$38+param_bovins!$I$145,IF(H588=param_bovins!$A$146,param_bovins!$H$146*'Saisie 2_bovins'!$D$38+param_bovins!$I$146,0))))</f>
        <v>0</v>
      </c>
      <c r="I589" s="74">
        <f>IF(I588=param_bovins!$A$143,param_bovins!$H$143*'Saisie 2_bovins'!$D$38+param_bovins!$I$143,IF(Calculs_bovins!I588=param_bovins!$A$144,param_bovins!$H$144*'Saisie 2_bovins'!$D$38+param_bovins!$I$144,IF(Calculs_bovins!I588=param_bovins!$A$145,param_bovins!$H$145*'Saisie 2_bovins'!$D$38+param_bovins!$I$145,IF(I588=param_bovins!$A$146,param_bovins!$H$146*'Saisie 2_bovins'!$D$38+param_bovins!$I$146,0))))</f>
        <v>0</v>
      </c>
      <c r="J589" s="74">
        <f>IF(J588=param_bovins!$A$143,param_bovins!$H$143*'Saisie 2_bovins'!$D$38+param_bovins!$I$143,IF(Calculs_bovins!J588=param_bovins!$A$144,param_bovins!$H$144*'Saisie 2_bovins'!$D$38+param_bovins!$I$144,IF(Calculs_bovins!J588=param_bovins!$A$145,param_bovins!$H$145*'Saisie 2_bovins'!$D$38+param_bovins!$I$145,IF(J588=param_bovins!$A$146,param_bovins!$H$146*'Saisie 2_bovins'!$D$38+param_bovins!$I$146,0))))</f>
        <v>0</v>
      </c>
      <c r="K589" s="74">
        <f>IF(K588=param_bovins!$A$143,param_bovins!$H$143*'Saisie 2_bovins'!$D$38+param_bovins!$I$143,IF(Calculs_bovins!K588=param_bovins!$A$144,param_bovins!$H$144*'Saisie 2_bovins'!$D$38+param_bovins!$I$144,IF(Calculs_bovins!K588=param_bovins!$A$145,param_bovins!$H$145*'Saisie 2_bovins'!$D$38+param_bovins!$I$145,IF(K588=param_bovins!$A$146,param_bovins!$H$146*'Saisie 2_bovins'!$D$38+param_bovins!$I$146,0))))</f>
        <v>0</v>
      </c>
      <c r="L589" s="74">
        <f>IF(L588=param_bovins!$A$143,param_bovins!$H$143*'Saisie 2_bovins'!$D$38+param_bovins!$I$143,IF(Calculs_bovins!L588=param_bovins!$A$144,param_bovins!$H$144*'Saisie 2_bovins'!$D$38+param_bovins!$I$144,IF(Calculs_bovins!L588=param_bovins!$A$145,param_bovins!$H$145*'Saisie 2_bovins'!$D$38+param_bovins!$I$145,IF(L588=param_bovins!$A$146,param_bovins!$H$146*'Saisie 2_bovins'!$D$38+param_bovins!$I$146,0))))</f>
        <v>0</v>
      </c>
      <c r="M589" s="74">
        <f>IF(M588=param_bovins!$A$143,param_bovins!$H$143*'Saisie 2_bovins'!$D$38+param_bovins!$I$143,IF(Calculs_bovins!M588=param_bovins!$A$144,param_bovins!$H$144*'Saisie 2_bovins'!$D$38+param_bovins!$I$144,IF(Calculs_bovins!M588=param_bovins!$A$145,param_bovins!$H$145*'Saisie 2_bovins'!$D$38+param_bovins!$I$145,IF(M588=param_bovins!$A$146,param_bovins!$H$146*'Saisie 2_bovins'!$D$38+param_bovins!$I$146,0))))</f>
        <v>0</v>
      </c>
      <c r="N589" s="74">
        <f>IF(N588=param_bovins!$A$143,param_bovins!$H$143*'Saisie 2_bovins'!$D$38+param_bovins!$I$143,IF(Calculs_bovins!N588=param_bovins!$A$144,param_bovins!$H$144*'Saisie 2_bovins'!$D$38+param_bovins!$I$144,IF(Calculs_bovins!N588=param_bovins!$A$145,param_bovins!$H$145*'Saisie 2_bovins'!$D$38+param_bovins!$I$145,IF(N588=param_bovins!$A$146,param_bovins!$H$146*'Saisie 2_bovins'!$D$38+param_bovins!$I$146,0))))</f>
        <v>0</v>
      </c>
      <c r="O589" s="74">
        <f>IF(O588=param_bovins!$A$143,param_bovins!$H$143*'Saisie 2_bovins'!$D$38+param_bovins!$I$143,IF(Calculs_bovins!O588=param_bovins!$A$144,param_bovins!$H$144*'Saisie 2_bovins'!$D$38+param_bovins!$I$144,IF(Calculs_bovins!O588=param_bovins!$A$145,param_bovins!$H$145*'Saisie 2_bovins'!$D$38+param_bovins!$I$145,IF(O588=param_bovins!$A$146,param_bovins!$H$146*'Saisie 2_bovins'!$D$38+param_bovins!$I$146,0))))</f>
        <v>0</v>
      </c>
      <c r="P589" s="30"/>
    </row>
    <row r="590" spans="1:16" x14ac:dyDescent="0.25">
      <c r="A590" t="s">
        <v>144</v>
      </c>
      <c r="B590" t="s">
        <v>329</v>
      </c>
      <c r="C590" t="s">
        <v>313</v>
      </c>
      <c r="D590" s="74">
        <f>IF(D588=param_bovins!$A$143,param_bovins!$B$143*'Saisie 2_bovins'!$D$38+param_bovins!$C$143,IF(Calculs_bovins!D588=param_bovins!$A$144,param_bovins!$B$144*'Saisie 2_bovins'!$D$38+param_bovins!$C$144,IF(Calculs_bovins!D588=param_bovins!$A$145,param_bovins!$B$145*'Saisie 2_bovins'!$D$38+param_bovins!$C$145,IF(D588=param_bovins!$A$146,param_bovins!$B$146*'Saisie 2_bovins'!$D$38+param_bovins!$C$146,0))))/1000</f>
        <v>0</v>
      </c>
      <c r="E590" s="74">
        <f>IF(E588=param_bovins!$A$143,param_bovins!$B$143*'Saisie 2_bovins'!$D$38+param_bovins!$C$143,IF(Calculs_bovins!E588=param_bovins!$A$144,param_bovins!$B$144*'Saisie 2_bovins'!$D$38+param_bovins!$C$144,IF(Calculs_bovins!E588=param_bovins!$A$145,param_bovins!$B$145*'Saisie 2_bovins'!$D$38+param_bovins!$C$145,IF(E588=param_bovins!$A$146,param_bovins!$B$146*'Saisie 2_bovins'!$D$38+param_bovins!$C$146,0))))/1000</f>
        <v>0</v>
      </c>
      <c r="F590" s="74">
        <f>IF(F588=param_bovins!$A$143,param_bovins!$B$143*'Saisie 2_bovins'!$D$38+param_bovins!$C$143,IF(Calculs_bovins!F588=param_bovins!$A$144,param_bovins!$B$144*'Saisie 2_bovins'!$D$38+param_bovins!$C$144,IF(Calculs_bovins!F588=param_bovins!$A$145,param_bovins!$B$145*'Saisie 2_bovins'!$D$38+param_bovins!$C$145,IF(F588=param_bovins!$A$146,param_bovins!$B$146*'Saisie 2_bovins'!$D$38+param_bovins!$C$146,0))))/1000</f>
        <v>0</v>
      </c>
      <c r="G590" s="74">
        <f>IF(G588=param_bovins!$A$143,param_bovins!$B$143*'Saisie 2_bovins'!$D$38+param_bovins!$C$143,IF(Calculs_bovins!G588=param_bovins!$A$144,param_bovins!$B$144*'Saisie 2_bovins'!$D$38+param_bovins!$C$144,IF(Calculs_bovins!G588=param_bovins!$A$145,param_bovins!$B$145*'Saisie 2_bovins'!$D$38+param_bovins!$C$145,IF(G588=param_bovins!$A$146,param_bovins!$B$146*'Saisie 2_bovins'!$D$38+param_bovins!$C$146,0))))/1000</f>
        <v>0</v>
      </c>
      <c r="H590" s="74">
        <f>IF(H588=param_bovins!$A$143,param_bovins!$B$143*'Saisie 2_bovins'!$D$38+param_bovins!$C$143,IF(Calculs_bovins!H588=param_bovins!$A$144,param_bovins!$B$144*'Saisie 2_bovins'!$D$38+param_bovins!$C$144,IF(Calculs_bovins!H588=param_bovins!$A$145,param_bovins!$B$145*'Saisie 2_bovins'!$D$38+param_bovins!$C$145,IF(H588=param_bovins!$A$146,param_bovins!$B$146*'Saisie 2_bovins'!$D$38+param_bovins!$C$146,0))))/1000</f>
        <v>0</v>
      </c>
      <c r="I590" s="74">
        <f>IF(I588=param_bovins!$A$143,param_bovins!$B$143*'Saisie 2_bovins'!$D$38+param_bovins!$C$143,IF(Calculs_bovins!I588=param_bovins!$A$144,param_bovins!$B$144*'Saisie 2_bovins'!$D$38+param_bovins!$C$144,IF(Calculs_bovins!I588=param_bovins!$A$145,param_bovins!$B$145*'Saisie 2_bovins'!$D$38+param_bovins!$C$145,IF(I588=param_bovins!$A$146,param_bovins!$B$146*'Saisie 2_bovins'!$D$38+param_bovins!$C$146,0))))/1000</f>
        <v>0</v>
      </c>
      <c r="J590" s="74">
        <f>IF(J588=param_bovins!$A$143,param_bovins!$B$143*'Saisie 2_bovins'!$D$38+param_bovins!$C$143,IF(Calculs_bovins!J588=param_bovins!$A$144,param_bovins!$B$144*'Saisie 2_bovins'!$D$38+param_bovins!$C$144,IF(Calculs_bovins!J588=param_bovins!$A$145,param_bovins!$B$145*'Saisie 2_bovins'!$D$38+param_bovins!$C$145,IF(J588=param_bovins!$A$146,param_bovins!$B$146*'Saisie 2_bovins'!$D$38+param_bovins!$C$146,0))))/1000</f>
        <v>0</v>
      </c>
      <c r="K590" s="74">
        <f>IF(K588=param_bovins!$A$143,param_bovins!$B$143*'Saisie 2_bovins'!$D$38+param_bovins!$C$143,IF(Calculs_bovins!K588=param_bovins!$A$144,param_bovins!$B$144*'Saisie 2_bovins'!$D$38+param_bovins!$C$144,IF(Calculs_bovins!K588=param_bovins!$A$145,param_bovins!$B$145*'Saisie 2_bovins'!$D$38+param_bovins!$C$145,IF(K588=param_bovins!$A$146,param_bovins!$B$146*'Saisie 2_bovins'!$D$38+param_bovins!$C$146,0))))/1000</f>
        <v>0</v>
      </c>
      <c r="L590" s="74">
        <f>IF(L588=param_bovins!$A$143,param_bovins!$B$143*'Saisie 2_bovins'!$D$38+param_bovins!$C$143,IF(Calculs_bovins!L588=param_bovins!$A$144,param_bovins!$B$144*'Saisie 2_bovins'!$D$38+param_bovins!$C$144,IF(Calculs_bovins!L588=param_bovins!$A$145,param_bovins!$B$145*'Saisie 2_bovins'!$D$38+param_bovins!$C$145,IF(L588=param_bovins!$A$146,param_bovins!$B$146*'Saisie 2_bovins'!$D$38+param_bovins!$C$146,0))))/1000</f>
        <v>0</v>
      </c>
      <c r="M590" s="74">
        <f>IF(M588=param_bovins!$A$143,param_bovins!$B$143*'Saisie 2_bovins'!$D$38+param_bovins!$C$143,IF(Calculs_bovins!M588=param_bovins!$A$144,param_bovins!$B$144*'Saisie 2_bovins'!$D$38+param_bovins!$C$144,IF(Calculs_bovins!M588=param_bovins!$A$145,param_bovins!$B$145*'Saisie 2_bovins'!$D$38+param_bovins!$C$145,IF(M588=param_bovins!$A$146,param_bovins!$B$146*'Saisie 2_bovins'!$D$38+param_bovins!$C$146,0))))/1000</f>
        <v>0</v>
      </c>
      <c r="N590" s="74">
        <f>IF(N588=param_bovins!$A$143,param_bovins!$B$143*'Saisie 2_bovins'!$D$38+param_bovins!$C$143,IF(Calculs_bovins!N588=param_bovins!$A$144,param_bovins!$B$144*'Saisie 2_bovins'!$D$38+param_bovins!$C$144,IF(Calculs_bovins!N588=param_bovins!$A$145,param_bovins!$B$145*'Saisie 2_bovins'!$D$38+param_bovins!$C$145,IF(N588=param_bovins!$A$146,param_bovins!$B$146*'Saisie 2_bovins'!$D$38+param_bovins!$C$146,0))))/1000</f>
        <v>0</v>
      </c>
      <c r="O590" s="74">
        <f>IF(O588=param_bovins!$A$143,param_bovins!$B$143*'Saisie 2_bovins'!$D$38+param_bovins!$C$143,IF(Calculs_bovins!O588=param_bovins!$A$144,param_bovins!$B$144*'Saisie 2_bovins'!$D$38+param_bovins!$C$144,IF(Calculs_bovins!O588=param_bovins!$A$145,param_bovins!$B$145*'Saisie 2_bovins'!$D$38+param_bovins!$C$145,IF(O588=param_bovins!$A$146,param_bovins!$B$146*'Saisie 2_bovins'!$D$38+param_bovins!$C$146,0))))/1000</f>
        <v>0</v>
      </c>
      <c r="P590" s="30"/>
    </row>
    <row r="591" spans="1:16" x14ac:dyDescent="0.25">
      <c r="A591" t="s">
        <v>146</v>
      </c>
      <c r="B591" t="s">
        <v>329</v>
      </c>
      <c r="C591" t="s">
        <v>314</v>
      </c>
      <c r="D591" s="60">
        <f>IF(D588=param_bovins!$A$143,param_bovins!$D$143*'Saisie 2_bovins'!$D$38+param_bovins!$E$143,IF(Calculs_bovins!D588=param_bovins!$A$144,param_bovins!$D$144*'Saisie 2_bovins'!$D$38+param_bovins!$E$144,IF(Calculs_bovins!D588=param_bovins!$A$145,param_bovins!$D$145*'Saisie 2_bovins'!$D$38+param_bovins!$E$145,IF(D588=param_bovins!$A$146,param_bovins!$D$146*'Saisie 2_bovins'!$D$38+param_bovins!$E$146,0))))/1000</f>
        <v>0</v>
      </c>
      <c r="E591" s="60">
        <f>IF(E588=param_bovins!$A$143,param_bovins!$D$143*'Saisie 2_bovins'!$D$38+param_bovins!$E$143,IF(Calculs_bovins!E588=param_bovins!$A$144,param_bovins!$D$144*'Saisie 2_bovins'!$D$38+param_bovins!$E$144,IF(Calculs_bovins!E588=param_bovins!$A$145,param_bovins!$D$145*'Saisie 2_bovins'!$D$38+param_bovins!$E$145,IF(E588=param_bovins!$A$146,param_bovins!$D$146*'Saisie 2_bovins'!$D$38+param_bovins!$E$146,0))))/1000</f>
        <v>0</v>
      </c>
      <c r="F591" s="60">
        <f>IF(F588=param_bovins!$A$143,param_bovins!$D$143*'Saisie 2_bovins'!$D$38+param_bovins!$E$143,IF(Calculs_bovins!F588=param_bovins!$A$144,param_bovins!$D$144*'Saisie 2_bovins'!$D$38+param_bovins!$E$144,IF(Calculs_bovins!F588=param_bovins!$A$145,param_bovins!$D$145*'Saisie 2_bovins'!$D$38+param_bovins!$E$145,IF(F588=param_bovins!$A$146,param_bovins!$D$146*'Saisie 2_bovins'!$D$38+param_bovins!$E$146,0))))/1000</f>
        <v>0</v>
      </c>
      <c r="G591" s="60">
        <f>IF(G588=param_bovins!$A$143,param_bovins!$D$143*'Saisie 2_bovins'!$D$38+param_bovins!$E$143,IF(Calculs_bovins!G588=param_bovins!$A$144,param_bovins!$D$144*'Saisie 2_bovins'!$D$38+param_bovins!$E$144,IF(Calculs_bovins!G588=param_bovins!$A$145,param_bovins!$D$145*'Saisie 2_bovins'!$D$38+param_bovins!$E$145,IF(G588=param_bovins!$A$146,param_bovins!$D$146*'Saisie 2_bovins'!$D$38+param_bovins!$E$146,0))))/1000</f>
        <v>0</v>
      </c>
      <c r="H591" s="60">
        <f>IF(H588=param_bovins!$A$143,param_bovins!$D$143*'Saisie 2_bovins'!$D$38+param_bovins!$E$143,IF(Calculs_bovins!H588=param_bovins!$A$144,param_bovins!$D$144*'Saisie 2_bovins'!$D$38+param_bovins!$E$144,IF(Calculs_bovins!H588=param_bovins!$A$145,param_bovins!$D$145*'Saisie 2_bovins'!$D$38+param_bovins!$E$145,IF(H588=param_bovins!$A$146,param_bovins!$D$146*'Saisie 2_bovins'!$D$38+param_bovins!$E$146,0))))/1000</f>
        <v>0</v>
      </c>
      <c r="I591" s="60">
        <f>IF(I588=param_bovins!$A$143,param_bovins!$D$143*'Saisie 2_bovins'!$D$38+param_bovins!$E$143,IF(Calculs_bovins!I588=param_bovins!$A$144,param_bovins!$D$144*'Saisie 2_bovins'!$D$38+param_bovins!$E$144,IF(Calculs_bovins!I588=param_bovins!$A$145,param_bovins!$D$145*'Saisie 2_bovins'!$D$38+param_bovins!$E$145,IF(I588=param_bovins!$A$146,param_bovins!$D$146*'Saisie 2_bovins'!$D$38+param_bovins!$E$146,0))))/1000</f>
        <v>0</v>
      </c>
      <c r="J591" s="60">
        <f>IF(J588=param_bovins!$A$143,param_bovins!$D$143*'Saisie 2_bovins'!$D$38+param_bovins!$E$143,IF(Calculs_bovins!J588=param_bovins!$A$144,param_bovins!$D$144*'Saisie 2_bovins'!$D$38+param_bovins!$E$144,IF(Calculs_bovins!J588=param_bovins!$A$145,param_bovins!$D$145*'Saisie 2_bovins'!$D$38+param_bovins!$E$145,IF(J588=param_bovins!$A$146,param_bovins!$D$146*'Saisie 2_bovins'!$D$38+param_bovins!$E$146,0))))/1000</f>
        <v>0</v>
      </c>
      <c r="K591" s="60">
        <f>IF(K588=param_bovins!$A$143,param_bovins!$D$143*'Saisie 2_bovins'!$D$38+param_bovins!$E$143,IF(Calculs_bovins!K588=param_bovins!$A$144,param_bovins!$D$144*'Saisie 2_bovins'!$D$38+param_bovins!$E$144,IF(Calculs_bovins!K588=param_bovins!$A$145,param_bovins!$D$145*'Saisie 2_bovins'!$D$38+param_bovins!$E$145,IF(K588=param_bovins!$A$146,param_bovins!$D$146*'Saisie 2_bovins'!$D$38+param_bovins!$E$146,0))))/1000</f>
        <v>0</v>
      </c>
      <c r="L591" s="60">
        <f>IF(L588=param_bovins!$A$143,param_bovins!$D$143*'Saisie 2_bovins'!$D$38+param_bovins!$E$143,IF(Calculs_bovins!L588=param_bovins!$A$144,param_bovins!$D$144*'Saisie 2_bovins'!$D$38+param_bovins!$E$144,IF(Calculs_bovins!L588=param_bovins!$A$145,param_bovins!$D$145*'Saisie 2_bovins'!$D$38+param_bovins!$E$145,IF(L588=param_bovins!$A$146,param_bovins!$D$146*'Saisie 2_bovins'!$D$38+param_bovins!$E$146,0))))/1000</f>
        <v>0</v>
      </c>
      <c r="M591" s="60">
        <f>IF(M588=param_bovins!$A$143,param_bovins!$D$143*'Saisie 2_bovins'!$D$38+param_bovins!$E$143,IF(Calculs_bovins!M588=param_bovins!$A$144,param_bovins!$D$144*'Saisie 2_bovins'!$D$38+param_bovins!$E$144,IF(Calculs_bovins!M588=param_bovins!$A$145,param_bovins!$D$145*'Saisie 2_bovins'!$D$38+param_bovins!$E$145,IF(M588=param_bovins!$A$146,param_bovins!$D$146*'Saisie 2_bovins'!$D$38+param_bovins!$E$146,0))))/1000</f>
        <v>0</v>
      </c>
      <c r="N591" s="60">
        <f>IF(N588=param_bovins!$A$143,param_bovins!$D$143*'Saisie 2_bovins'!$D$38+param_bovins!$E$143,IF(Calculs_bovins!N588=param_bovins!$A$144,param_bovins!$D$144*'Saisie 2_bovins'!$D$38+param_bovins!$E$144,IF(Calculs_bovins!N588=param_bovins!$A$145,param_bovins!$D$145*'Saisie 2_bovins'!$D$38+param_bovins!$E$145,IF(N588=param_bovins!$A$146,param_bovins!$D$146*'Saisie 2_bovins'!$D$38+param_bovins!$E$146,0))))/1000</f>
        <v>0</v>
      </c>
      <c r="O591" s="60">
        <f>IF(O588=param_bovins!$A$143,param_bovins!$D$143*'Saisie 2_bovins'!$D$38+param_bovins!$E$143,IF(Calculs_bovins!O588=param_bovins!$A$144,param_bovins!$D$144*'Saisie 2_bovins'!$D$38+param_bovins!$E$144,IF(Calculs_bovins!O588=param_bovins!$A$145,param_bovins!$D$145*'Saisie 2_bovins'!$D$38+param_bovins!$E$145,IF(O588=param_bovins!$A$146,param_bovins!$D$146*'Saisie 2_bovins'!$D$38+param_bovins!$E$146,0))))/1000</f>
        <v>0</v>
      </c>
      <c r="P591" s="30"/>
    </row>
    <row r="592" spans="1:16" x14ac:dyDescent="0.25">
      <c r="A592" t="s">
        <v>150</v>
      </c>
      <c r="B592" t="s">
        <v>329</v>
      </c>
      <c r="C592" t="s">
        <v>315</v>
      </c>
      <c r="D592" s="60">
        <f>IF(D588=param_bovins!$A$143,param_bovins!$F$143*'Saisie 2_bovins'!$D$38+param_bovins!$G$143,IF(Calculs_bovins!D588=param_bovins!$A$144,param_bovins!$F$144*'Saisie 2_bovins'!$D$38+param_bovins!$G$144,IF(Calculs_bovins!D588=param_bovins!$A$145,param_bovins!$F$145*'Saisie 2_bovins'!$D$38+param_bovins!$G$145,IF(D588=param_bovins!$A$146,param_bovins!$F$146*'Saisie 2_bovins'!$D$38+param_bovins!$G$146,0))))/1000</f>
        <v>0</v>
      </c>
      <c r="E592" s="60">
        <f>IF(E588=param_bovins!$A$143,param_bovins!$F$143*'Saisie 2_bovins'!$D$38+param_bovins!$G$143,IF(Calculs_bovins!E588=param_bovins!$A$144,param_bovins!$F$144*'Saisie 2_bovins'!$D$38+param_bovins!$G$144,IF(Calculs_bovins!E588=param_bovins!$A$145,param_bovins!$F$145*'Saisie 2_bovins'!$D$38+param_bovins!$G$145,IF(E588=param_bovins!$A$146,param_bovins!$F$146*'Saisie 2_bovins'!$D$38+param_bovins!$G$146,0))))/1000</f>
        <v>0</v>
      </c>
      <c r="F592" s="60">
        <f>IF(F588=param_bovins!$A$143,param_bovins!$F$143*'Saisie 2_bovins'!$D$38+param_bovins!$G$143,IF(Calculs_bovins!F588=param_bovins!$A$144,param_bovins!$F$144*'Saisie 2_bovins'!$D$38+param_bovins!$G$144,IF(Calculs_bovins!F588=param_bovins!$A$145,param_bovins!$F$145*'Saisie 2_bovins'!$D$38+param_bovins!$G$145,IF(F588=param_bovins!$A$146,param_bovins!$F$146*'Saisie 2_bovins'!$D$38+param_bovins!$G$146,0))))/1000</f>
        <v>0</v>
      </c>
      <c r="G592" s="60">
        <f>IF(G588=param_bovins!$A$143,param_bovins!$F$143*'Saisie 2_bovins'!$D$38+param_bovins!$G$143,IF(Calculs_bovins!G588=param_bovins!$A$144,param_bovins!$F$144*'Saisie 2_bovins'!$D$38+param_bovins!$G$144,IF(Calculs_bovins!G588=param_bovins!$A$145,param_bovins!$F$145*'Saisie 2_bovins'!$D$38+param_bovins!$G$145,IF(G588=param_bovins!$A$146,param_bovins!$F$146*'Saisie 2_bovins'!$D$38+param_bovins!$G$146,0))))/1000</f>
        <v>0</v>
      </c>
      <c r="H592" s="60">
        <f>IF(H588=param_bovins!$A$143,param_bovins!$F$143*'Saisie 2_bovins'!$D$38+param_bovins!$G$143,IF(Calculs_bovins!H588=param_bovins!$A$144,param_bovins!$F$144*'Saisie 2_bovins'!$D$38+param_bovins!$G$144,IF(Calculs_bovins!H588=param_bovins!$A$145,param_bovins!$F$145*'Saisie 2_bovins'!$D$38+param_bovins!$G$145,IF(H588=param_bovins!$A$146,param_bovins!$F$146*'Saisie 2_bovins'!$D$38+param_bovins!$G$146,0))))/1000</f>
        <v>0</v>
      </c>
      <c r="I592" s="60">
        <f>IF(I588=param_bovins!$A$143,param_bovins!$F$143*'Saisie 2_bovins'!$D$38+param_bovins!$G$143,IF(Calculs_bovins!I588=param_bovins!$A$144,param_bovins!$F$144*'Saisie 2_bovins'!$D$38+param_bovins!$G$144,IF(Calculs_bovins!I588=param_bovins!$A$145,param_bovins!$F$145*'Saisie 2_bovins'!$D$38+param_bovins!$G$145,IF(I588=param_bovins!$A$146,param_bovins!$F$146*'Saisie 2_bovins'!$D$38+param_bovins!$G$146,0))))/1000</f>
        <v>0</v>
      </c>
      <c r="J592" s="60">
        <f>IF(J588=param_bovins!$A$143,param_bovins!$F$143*'Saisie 2_bovins'!$D$38+param_bovins!$G$143,IF(Calculs_bovins!J588=param_bovins!$A$144,param_bovins!$F$144*'Saisie 2_bovins'!$D$38+param_bovins!$G$144,IF(Calculs_bovins!J588=param_bovins!$A$145,param_bovins!$F$145*'Saisie 2_bovins'!$D$38+param_bovins!$G$145,IF(J588=param_bovins!$A$146,param_bovins!$F$146*'Saisie 2_bovins'!$D$38+param_bovins!$G$146,0))))/1000</f>
        <v>0</v>
      </c>
      <c r="K592" s="60">
        <f>IF(K588=param_bovins!$A$143,param_bovins!$F$143*'Saisie 2_bovins'!$D$38+param_bovins!$G$143,IF(Calculs_bovins!K588=param_bovins!$A$144,param_bovins!$F$144*'Saisie 2_bovins'!$D$38+param_bovins!$G$144,IF(Calculs_bovins!K588=param_bovins!$A$145,param_bovins!$F$145*'Saisie 2_bovins'!$D$38+param_bovins!$G$145,IF(K588=param_bovins!$A$146,param_bovins!$F$146*'Saisie 2_bovins'!$D$38+param_bovins!$G$146,0))))/1000</f>
        <v>0</v>
      </c>
      <c r="L592" s="60">
        <f>IF(L588=param_bovins!$A$143,param_bovins!$F$143*'Saisie 2_bovins'!$D$38+param_bovins!$G$143,IF(Calculs_bovins!L588=param_bovins!$A$144,param_bovins!$F$144*'Saisie 2_bovins'!$D$38+param_bovins!$G$144,IF(Calculs_bovins!L588=param_bovins!$A$145,param_bovins!$F$145*'Saisie 2_bovins'!$D$38+param_bovins!$G$145,IF(L588=param_bovins!$A$146,param_bovins!$F$146*'Saisie 2_bovins'!$D$38+param_bovins!$G$146,0))))/1000</f>
        <v>0</v>
      </c>
      <c r="M592" s="60">
        <f>IF(M588=param_bovins!$A$143,param_bovins!$F$143*'Saisie 2_bovins'!$D$38+param_bovins!$G$143,IF(Calculs_bovins!M588=param_bovins!$A$144,param_bovins!$F$144*'Saisie 2_bovins'!$D$38+param_bovins!$G$144,IF(Calculs_bovins!M588=param_bovins!$A$145,param_bovins!$F$145*'Saisie 2_bovins'!$D$38+param_bovins!$G$145,IF(M588=param_bovins!$A$146,param_bovins!$F$146*'Saisie 2_bovins'!$D$38+param_bovins!$G$146,0))))/1000</f>
        <v>0</v>
      </c>
      <c r="N592" s="60">
        <f>IF(N588=param_bovins!$A$143,param_bovins!$F$143*'Saisie 2_bovins'!$D$38+param_bovins!$G$143,IF(Calculs_bovins!N588=param_bovins!$A$144,param_bovins!$F$144*'Saisie 2_bovins'!$D$38+param_bovins!$G$144,IF(Calculs_bovins!N588=param_bovins!$A$145,param_bovins!$F$145*'Saisie 2_bovins'!$D$38+param_bovins!$G$145,IF(N588=param_bovins!$A$146,param_bovins!$F$146*'Saisie 2_bovins'!$D$38+param_bovins!$G$146,0))))/1000</f>
        <v>0</v>
      </c>
      <c r="O592" s="60">
        <f>IF(O588=param_bovins!$A$143,param_bovins!$F$143*'Saisie 2_bovins'!$D$38+param_bovins!$G$143,IF(Calculs_bovins!O588=param_bovins!$A$144,param_bovins!$F$144*'Saisie 2_bovins'!$D$38+param_bovins!$G$144,IF(Calculs_bovins!O588=param_bovins!$A$145,param_bovins!$F$145*'Saisie 2_bovins'!$D$38+param_bovins!$G$145,IF(O588=param_bovins!$A$146,param_bovins!$F$146*'Saisie 2_bovins'!$D$38+param_bovins!$G$146,0))))/1000</f>
        <v>0</v>
      </c>
      <c r="P592" s="30"/>
    </row>
    <row r="593" spans="1:16" x14ac:dyDescent="0.25">
      <c r="A593" s="36" t="s">
        <v>291</v>
      </c>
      <c r="B593" s="36"/>
      <c r="C593" s="36" t="s">
        <v>316</v>
      </c>
      <c r="D593" s="72">
        <f>D590*12</f>
        <v>0</v>
      </c>
      <c r="E593" s="72">
        <f t="shared" ref="E593:O593" si="239">E590*12</f>
        <v>0</v>
      </c>
      <c r="F593" s="72">
        <f t="shared" si="239"/>
        <v>0</v>
      </c>
      <c r="G593" s="72">
        <f t="shared" si="239"/>
        <v>0</v>
      </c>
      <c r="H593" s="72">
        <f t="shared" si="239"/>
        <v>0</v>
      </c>
      <c r="I593" s="72">
        <f t="shared" si="239"/>
        <v>0</v>
      </c>
      <c r="J593" s="72">
        <f t="shared" si="239"/>
        <v>0</v>
      </c>
      <c r="K593" s="72">
        <f t="shared" si="239"/>
        <v>0</v>
      </c>
      <c r="L593" s="72">
        <f t="shared" si="239"/>
        <v>0</v>
      </c>
      <c r="M593" s="72">
        <f t="shared" si="239"/>
        <v>0</v>
      </c>
      <c r="N593" s="72">
        <f t="shared" si="239"/>
        <v>0</v>
      </c>
      <c r="O593" s="72">
        <f t="shared" si="239"/>
        <v>0</v>
      </c>
      <c r="P593" s="30"/>
    </row>
    <row r="594" spans="1:16" x14ac:dyDescent="0.25">
      <c r="A594" s="36"/>
      <c r="B594" s="36"/>
      <c r="C594" s="36" t="s">
        <v>317</v>
      </c>
      <c r="D594" s="72">
        <f>D591*12</f>
        <v>0</v>
      </c>
      <c r="E594" s="72">
        <f t="shared" ref="E594:O594" si="240">E591*12</f>
        <v>0</v>
      </c>
      <c r="F594" s="72">
        <f t="shared" si="240"/>
        <v>0</v>
      </c>
      <c r="G594" s="72">
        <f t="shared" si="240"/>
        <v>0</v>
      </c>
      <c r="H594" s="72">
        <f t="shared" si="240"/>
        <v>0</v>
      </c>
      <c r="I594" s="72">
        <f t="shared" si="240"/>
        <v>0</v>
      </c>
      <c r="J594" s="72">
        <f t="shared" si="240"/>
        <v>0</v>
      </c>
      <c r="K594" s="72">
        <f t="shared" si="240"/>
        <v>0</v>
      </c>
      <c r="L594" s="72">
        <f t="shared" si="240"/>
        <v>0</v>
      </c>
      <c r="M594" s="72">
        <f t="shared" si="240"/>
        <v>0</v>
      </c>
      <c r="N594" s="72">
        <f t="shared" si="240"/>
        <v>0</v>
      </c>
      <c r="O594" s="72">
        <f t="shared" si="240"/>
        <v>0</v>
      </c>
      <c r="P594" s="30"/>
    </row>
    <row r="595" spans="1:16" x14ac:dyDescent="0.25">
      <c r="A595" s="36"/>
      <c r="B595" s="36"/>
      <c r="C595" s="36" t="s">
        <v>318</v>
      </c>
      <c r="D595" s="72">
        <f>D592*12</f>
        <v>0</v>
      </c>
      <c r="E595" s="72">
        <f t="shared" ref="E595:O595" si="241">E592*12</f>
        <v>0</v>
      </c>
      <c r="F595" s="72">
        <f t="shared" si="241"/>
        <v>0</v>
      </c>
      <c r="G595" s="72">
        <f t="shared" si="241"/>
        <v>0</v>
      </c>
      <c r="H595" s="72">
        <f t="shared" si="241"/>
        <v>0</v>
      </c>
      <c r="I595" s="72">
        <f t="shared" si="241"/>
        <v>0</v>
      </c>
      <c r="J595" s="72">
        <f t="shared" si="241"/>
        <v>0</v>
      </c>
      <c r="K595" s="72">
        <f t="shared" si="241"/>
        <v>0</v>
      </c>
      <c r="L595" s="72">
        <f t="shared" si="241"/>
        <v>0</v>
      </c>
      <c r="M595" s="72">
        <f t="shared" si="241"/>
        <v>0</v>
      </c>
      <c r="N595" s="72">
        <f t="shared" si="241"/>
        <v>0</v>
      </c>
      <c r="O595" s="72">
        <f t="shared" si="241"/>
        <v>0</v>
      </c>
      <c r="P595" s="30"/>
    </row>
    <row r="596" spans="1:16" x14ac:dyDescent="0.25">
      <c r="A596" s="57"/>
      <c r="B596" s="57"/>
      <c r="C596" s="36" t="s">
        <v>319</v>
      </c>
      <c r="D596" s="72">
        <f>D589/(365.25/12)</f>
        <v>0</v>
      </c>
      <c r="E596" s="72">
        <f t="shared" ref="E596:O596" si="242">E589/(365.25/12)</f>
        <v>0</v>
      </c>
      <c r="F596" s="72">
        <f t="shared" si="242"/>
        <v>0</v>
      </c>
      <c r="G596" s="72">
        <f t="shared" si="242"/>
        <v>0</v>
      </c>
      <c r="H596" s="72">
        <f t="shared" si="242"/>
        <v>0</v>
      </c>
      <c r="I596" s="72">
        <f t="shared" si="242"/>
        <v>0</v>
      </c>
      <c r="J596" s="72">
        <f t="shared" si="242"/>
        <v>0</v>
      </c>
      <c r="K596" s="72">
        <f t="shared" si="242"/>
        <v>0</v>
      </c>
      <c r="L596" s="72">
        <f t="shared" si="242"/>
        <v>0</v>
      </c>
      <c r="M596" s="72">
        <f t="shared" si="242"/>
        <v>0</v>
      </c>
      <c r="N596" s="72">
        <f t="shared" si="242"/>
        <v>0</v>
      </c>
      <c r="O596" s="72">
        <f t="shared" si="242"/>
        <v>0</v>
      </c>
      <c r="P596" s="30"/>
    </row>
    <row r="597" spans="1:16" x14ac:dyDescent="0.25">
      <c r="A597" s="57"/>
      <c r="B597" s="57"/>
      <c r="C597" s="36" t="s">
        <v>320</v>
      </c>
      <c r="D597" s="72">
        <f>IF(D588=param_bovins!$A$101,param_bovins!$F$78*D596,IF(D588=param_bovins!$A$102,param_bovins!$F$79*D596,IF(D588=param_bovins!$A$103,param_bovins!$F$80*D596,IF(D588=param_bovins!$A$104,param_bovins!$F$81*D596,0))))</f>
        <v>0</v>
      </c>
      <c r="E597" s="72">
        <f>IF(E588=param_bovins!$A$101,param_bovins!$F$78*E596,IF(E588=param_bovins!$A$102,param_bovins!$F$79*E596,IF(E588=param_bovins!$A$103,param_bovins!$F$80*E596,IF(E588=param_bovins!$A$104,param_bovins!$F$81*E596,0))))</f>
        <v>0</v>
      </c>
      <c r="F597" s="72">
        <f>IF(F588=param_bovins!$A$101,param_bovins!$F$78*F596,IF(F588=param_bovins!$A$102,param_bovins!$F$79*F596,IF(F588=param_bovins!$A$103,param_bovins!$F$80*F596,IF(F588=param_bovins!$A$104,param_bovins!$F$81*F596,0))))</f>
        <v>0</v>
      </c>
      <c r="G597" s="72">
        <f>IF(G588=param_bovins!$A$101,param_bovins!$F$78*G596,IF(G588=param_bovins!$A$102,param_bovins!$F$79*G596,IF(G588=param_bovins!$A$103,param_bovins!$F$80*G596,IF(G588=param_bovins!$A$104,param_bovins!$F$81*G596,0))))</f>
        <v>0</v>
      </c>
      <c r="H597" s="72">
        <f>IF(H588=param_bovins!$A$101,param_bovins!$F$78*H596,IF(H588=param_bovins!$A$102,param_bovins!$F$79*H596,IF(H588=param_bovins!$A$103,param_bovins!$F$80*H596,IF(H588=param_bovins!$A$104,param_bovins!$F$81*H596,0))))</f>
        <v>0</v>
      </c>
      <c r="I597" s="72">
        <f>IF(I588=param_bovins!$A$101,param_bovins!$F$78*I596,IF(I588=param_bovins!$A$102,param_bovins!$F$79*I596,IF(I588=param_bovins!$A$103,param_bovins!$F$80*I596,IF(I588=param_bovins!$A$104,param_bovins!$F$81*I596,0))))</f>
        <v>0</v>
      </c>
      <c r="J597" s="72">
        <f>IF(J588=param_bovins!$A$101,param_bovins!$F$78*J596,IF(J588=param_bovins!$A$102,param_bovins!$F$79*J596,IF(J588=param_bovins!$A$103,param_bovins!$F$80*J596,IF(J588=param_bovins!$A$104,param_bovins!$F$81*J596,0))))</f>
        <v>0</v>
      </c>
      <c r="K597" s="72">
        <f>IF(K588=param_bovins!$A$101,param_bovins!$F$78*K596,IF(K588=param_bovins!$A$102,param_bovins!$F$79*K596,IF(K588=param_bovins!$A$103,param_bovins!$F$80*K596,IF(K588=param_bovins!$A$104,param_bovins!$F$81*K596,0))))</f>
        <v>0</v>
      </c>
      <c r="L597" s="72">
        <f>IF(L588=param_bovins!$A$101,param_bovins!$F$78*L596,IF(L588=param_bovins!$A$102,param_bovins!$F$79*L596,IF(L588=param_bovins!$A$103,param_bovins!$F$80*L596,IF(L588=param_bovins!$A$104,param_bovins!$F$81*L596,0))))</f>
        <v>0</v>
      </c>
      <c r="M597" s="72">
        <f>IF(M588=param_bovins!$A$101,param_bovins!$F$78*M596,IF(M588=param_bovins!$A$102,param_bovins!$F$79*M596,IF(M588=param_bovins!$A$103,param_bovins!$F$80*M596,IF(M588=param_bovins!$A$104,param_bovins!$F$81*M596,0))))</f>
        <v>0</v>
      </c>
      <c r="N597" s="72">
        <f>IF(N588=param_bovins!$A$101,param_bovins!$F$78*N596,IF(N588=param_bovins!$A$102,param_bovins!$F$79*N596,IF(N588=param_bovins!$A$103,param_bovins!$F$80*N596,IF(N588=param_bovins!$A$104,param_bovins!$F$81*N596,0))))</f>
        <v>0</v>
      </c>
      <c r="O597" s="72">
        <f>IF(O588=param_bovins!$A$101,param_bovins!$F$78*O596,IF(O588=param_bovins!$A$102,param_bovins!$F$79*O596,IF(O588=param_bovins!$A$103,param_bovins!$F$80*O596,IF(O588=param_bovins!$A$104,param_bovins!$F$81*O596,0))))</f>
        <v>0</v>
      </c>
      <c r="P597" s="30"/>
    </row>
    <row r="598" spans="1:16" x14ac:dyDescent="0.25">
      <c r="A598" s="12"/>
      <c r="B598" s="12"/>
      <c r="C598" s="42"/>
      <c r="P598" s="30"/>
    </row>
    <row r="599" spans="1:16" x14ac:dyDescent="0.25">
      <c r="A599" t="s">
        <v>352</v>
      </c>
      <c r="B599" s="33"/>
      <c r="C599" s="36" t="s">
        <v>347</v>
      </c>
      <c r="D599">
        <f>'Feuille saisie commune'!$E$13</f>
        <v>0</v>
      </c>
      <c r="E599">
        <f>'Feuille saisie commune'!$E$13</f>
        <v>0</v>
      </c>
      <c r="F599">
        <f>'Feuille saisie commune'!$E$13</f>
        <v>0</v>
      </c>
      <c r="G599">
        <f>'Feuille saisie commune'!$E$13</f>
        <v>0</v>
      </c>
      <c r="H599">
        <f>'Feuille saisie commune'!$E$13</f>
        <v>0</v>
      </c>
      <c r="I599">
        <f>'Feuille saisie commune'!$E$13</f>
        <v>0</v>
      </c>
      <c r="J599">
        <f>'Feuille saisie commune'!$E$13</f>
        <v>0</v>
      </c>
      <c r="K599">
        <f>'Feuille saisie commune'!$E$13</f>
        <v>0</v>
      </c>
      <c r="L599">
        <f>'Feuille saisie commune'!$E$13</f>
        <v>0</v>
      </c>
      <c r="M599">
        <f>'Feuille saisie commune'!$E$13</f>
        <v>0</v>
      </c>
      <c r="N599">
        <f>'Feuille saisie commune'!$E$13</f>
        <v>0</v>
      </c>
      <c r="O599">
        <f>'Feuille saisie commune'!$E$13</f>
        <v>0</v>
      </c>
      <c r="P599" s="30"/>
    </row>
    <row r="600" spans="1:16" x14ac:dyDescent="0.25">
      <c r="A600" s="33" t="s">
        <v>204</v>
      </c>
      <c r="B600" t="s">
        <v>288</v>
      </c>
      <c r="C600" s="33" t="s">
        <v>205</v>
      </c>
      <c r="D600" s="28">
        <f>'Saisie 2_bovins'!G38/(365.25/12)</f>
        <v>0</v>
      </c>
      <c r="E600" s="28">
        <f>'Saisie 2_bovins'!H38/(365.25/12)</f>
        <v>0</v>
      </c>
      <c r="F600" s="28">
        <f>'Saisie 2_bovins'!I38/(365.25/12)</f>
        <v>0</v>
      </c>
      <c r="G600" s="28">
        <f>'Saisie 2_bovins'!J38/(365.25/12)</f>
        <v>0</v>
      </c>
      <c r="H600" s="28">
        <f>'Saisie 2_bovins'!K38/(365.25/12)</f>
        <v>0</v>
      </c>
      <c r="I600" s="28">
        <f>'Saisie 2_bovins'!L38/(365.25/12)</f>
        <v>0</v>
      </c>
      <c r="J600" s="28">
        <f>'Saisie 2_bovins'!M38/(365.25/12)</f>
        <v>0</v>
      </c>
      <c r="K600" s="28">
        <f>'Saisie 2_bovins'!N38/(365.25/12)</f>
        <v>0</v>
      </c>
      <c r="L600" s="28">
        <f>'Saisie 2_bovins'!O38/(365.25/12)</f>
        <v>0</v>
      </c>
      <c r="M600" s="28">
        <f>'Saisie 2_bovins'!P38/(365.25/12)</f>
        <v>0</v>
      </c>
      <c r="N600" s="28">
        <f>'Saisie 2_bovins'!Q38/(365.25/12)</f>
        <v>0</v>
      </c>
      <c r="O600" s="28">
        <f>'Saisie 2_bovins'!R38/(365.25/12)</f>
        <v>0</v>
      </c>
      <c r="P600" s="30"/>
    </row>
    <row r="601" spans="1:16" x14ac:dyDescent="0.25">
      <c r="A601" s="33" t="s">
        <v>207</v>
      </c>
      <c r="B601" t="s">
        <v>332</v>
      </c>
      <c r="C601" t="s">
        <v>213</v>
      </c>
      <c r="D601" s="60">
        <f>D590*D$599*D$600</f>
        <v>0</v>
      </c>
      <c r="E601" s="60">
        <f t="shared" ref="E601:O601" si="243">E590*E$599*E$600</f>
        <v>0</v>
      </c>
      <c r="F601" s="60">
        <f t="shared" si="243"/>
        <v>0</v>
      </c>
      <c r="G601" s="60">
        <f t="shared" si="243"/>
        <v>0</v>
      </c>
      <c r="H601" s="60">
        <f t="shared" si="243"/>
        <v>0</v>
      </c>
      <c r="I601" s="60">
        <f t="shared" si="243"/>
        <v>0</v>
      </c>
      <c r="J601" s="60">
        <f t="shared" si="243"/>
        <v>0</v>
      </c>
      <c r="K601" s="60">
        <f t="shared" si="243"/>
        <v>0</v>
      </c>
      <c r="L601" s="60">
        <f t="shared" si="243"/>
        <v>0</v>
      </c>
      <c r="M601" s="60">
        <f t="shared" si="243"/>
        <v>0</v>
      </c>
      <c r="N601" s="60">
        <f t="shared" si="243"/>
        <v>0</v>
      </c>
      <c r="O601" s="60">
        <f t="shared" si="243"/>
        <v>0</v>
      </c>
      <c r="P601" s="30"/>
    </row>
    <row r="602" spans="1:16" x14ac:dyDescent="0.25">
      <c r="A602" s="33" t="s">
        <v>209</v>
      </c>
      <c r="B602" t="s">
        <v>333</v>
      </c>
      <c r="C602" t="s">
        <v>214</v>
      </c>
      <c r="D602" s="60">
        <f>D591*D$600*D$599</f>
        <v>0</v>
      </c>
      <c r="E602" s="60">
        <f t="shared" ref="E602:O602" si="244">E591*E$600*E$599</f>
        <v>0</v>
      </c>
      <c r="F602" s="60">
        <f t="shared" si="244"/>
        <v>0</v>
      </c>
      <c r="G602" s="60">
        <f t="shared" si="244"/>
        <v>0</v>
      </c>
      <c r="H602" s="60">
        <f t="shared" si="244"/>
        <v>0</v>
      </c>
      <c r="I602" s="60">
        <f t="shared" si="244"/>
        <v>0</v>
      </c>
      <c r="J602" s="60">
        <f t="shared" si="244"/>
        <v>0</v>
      </c>
      <c r="K602" s="60">
        <f t="shared" si="244"/>
        <v>0</v>
      </c>
      <c r="L602" s="60">
        <f t="shared" si="244"/>
        <v>0</v>
      </c>
      <c r="M602" s="60">
        <f t="shared" si="244"/>
        <v>0</v>
      </c>
      <c r="N602" s="60">
        <f t="shared" si="244"/>
        <v>0</v>
      </c>
      <c r="O602" s="60">
        <f t="shared" si="244"/>
        <v>0</v>
      </c>
      <c r="P602" s="30"/>
    </row>
    <row r="603" spans="1:16" x14ac:dyDescent="0.25">
      <c r="A603" s="33" t="s">
        <v>208</v>
      </c>
      <c r="B603" t="s">
        <v>334</v>
      </c>
      <c r="C603" t="s">
        <v>215</v>
      </c>
      <c r="D603" s="60">
        <f>D592*D$600*D$599</f>
        <v>0</v>
      </c>
      <c r="E603" s="60">
        <f t="shared" ref="E603:O603" si="245">E592*E$600*E$599</f>
        <v>0</v>
      </c>
      <c r="F603" s="60">
        <f t="shared" si="245"/>
        <v>0</v>
      </c>
      <c r="G603" s="60">
        <f t="shared" si="245"/>
        <v>0</v>
      </c>
      <c r="H603" s="60">
        <f t="shared" si="245"/>
        <v>0</v>
      </c>
      <c r="I603" s="60">
        <f t="shared" si="245"/>
        <v>0</v>
      </c>
      <c r="J603" s="60">
        <f t="shared" si="245"/>
        <v>0</v>
      </c>
      <c r="K603" s="60">
        <f t="shared" si="245"/>
        <v>0</v>
      </c>
      <c r="L603" s="60">
        <f t="shared" si="245"/>
        <v>0</v>
      </c>
      <c r="M603" s="60">
        <f t="shared" si="245"/>
        <v>0</v>
      </c>
      <c r="N603" s="60">
        <f t="shared" si="245"/>
        <v>0</v>
      </c>
      <c r="O603" s="60">
        <f t="shared" si="245"/>
        <v>0</v>
      </c>
      <c r="P603" s="30"/>
    </row>
    <row r="604" spans="1:16" x14ac:dyDescent="0.25">
      <c r="P604" s="30"/>
    </row>
    <row r="605" spans="1:16" x14ac:dyDescent="0.25">
      <c r="A605" s="42" t="s">
        <v>265</v>
      </c>
      <c r="B605" s="42"/>
      <c r="C605" s="42" t="s">
        <v>335</v>
      </c>
      <c r="D605">
        <f>'Feuille saisie commune'!G13</f>
        <v>0</v>
      </c>
      <c r="P605" s="30"/>
    </row>
    <row r="606" spans="1:16" x14ac:dyDescent="0.25">
      <c r="A606" s="33" t="s">
        <v>262</v>
      </c>
      <c r="B606" t="s">
        <v>336</v>
      </c>
      <c r="C606" s="47" t="s">
        <v>263</v>
      </c>
      <c r="D606">
        <f>$D605*D599*D600*(365.25/12)</f>
        <v>0</v>
      </c>
      <c r="E606">
        <f t="shared" ref="E606" si="246">$D605*E599*E600*(365.25/12)</f>
        <v>0</v>
      </c>
      <c r="F606">
        <f t="shared" ref="F606" si="247">$D605*F599*F600*(365.25/12)</f>
        <v>0</v>
      </c>
      <c r="G606">
        <f t="shared" ref="G606" si="248">$D605*G599*G600*(365.25/12)</f>
        <v>0</v>
      </c>
      <c r="H606">
        <f t="shared" ref="H606" si="249">$D605*H599*H600*(365.25/12)</f>
        <v>0</v>
      </c>
      <c r="I606">
        <f t="shared" ref="I606" si="250">$D605*I599*I600*(365.25/12)</f>
        <v>0</v>
      </c>
      <c r="J606">
        <f t="shared" ref="J606" si="251">$D605*J599*J600*(365.25/12)</f>
        <v>0</v>
      </c>
      <c r="K606">
        <f t="shared" ref="K606" si="252">$D605*K599*K600*(365.25/12)</f>
        <v>0</v>
      </c>
      <c r="L606">
        <f t="shared" ref="L606" si="253">$D605*L599*L600*(365.25/12)</f>
        <v>0</v>
      </c>
      <c r="M606">
        <f t="shared" ref="M606" si="254">$D605*M599*M600*(365.25/12)</f>
        <v>0</v>
      </c>
      <c r="N606">
        <f t="shared" ref="N606" si="255">$D605*N599*N600*(365.25/12)</f>
        <v>0</v>
      </c>
      <c r="O606">
        <f t="shared" ref="O606" si="256">$D605*O599*O600*(365.25/12)</f>
        <v>0</v>
      </c>
      <c r="P606" s="30"/>
    </row>
    <row r="607" spans="1:16" x14ac:dyDescent="0.25">
      <c r="A607" s="33" t="s">
        <v>267</v>
      </c>
      <c r="B607" t="s">
        <v>270</v>
      </c>
      <c r="C607" t="s">
        <v>246</v>
      </c>
      <c r="D607" s="60">
        <f>D606*param_bovins!$D$160*param_bovins!$A$160/1000</f>
        <v>0</v>
      </c>
      <c r="E607" s="60">
        <f>E606*param_bovins!$D$160*param_bovins!$A$160/1000</f>
        <v>0</v>
      </c>
      <c r="F607" s="60">
        <f>F606*param_bovins!$D$160*param_bovins!$A$160/1000</f>
        <v>0</v>
      </c>
      <c r="G607" s="60">
        <f>G606*param_bovins!$D$160*param_bovins!$A$160/1000</f>
        <v>0</v>
      </c>
      <c r="H607" s="60">
        <f>H606*param_bovins!$D$160*param_bovins!$A$160/1000</f>
        <v>0</v>
      </c>
      <c r="I607" s="60">
        <f>I606*param_bovins!$D$160*param_bovins!$A$160/1000</f>
        <v>0</v>
      </c>
      <c r="J607" s="60">
        <f>J606*param_bovins!$D$160*param_bovins!$A$160/1000</f>
        <v>0</v>
      </c>
      <c r="K607" s="60">
        <f>K606*param_bovins!$D$160*param_bovins!$A$160/1000</f>
        <v>0</v>
      </c>
      <c r="L607" s="60">
        <f>L606*param_bovins!$D$160*param_bovins!$A$160/1000</f>
        <v>0</v>
      </c>
      <c r="M607" s="60">
        <f>M606*param_bovins!$D$160*param_bovins!$A$160/1000</f>
        <v>0</v>
      </c>
      <c r="N607" s="60">
        <f>N606*param_bovins!$D$160*param_bovins!$A$160/1000</f>
        <v>0</v>
      </c>
      <c r="O607" s="60">
        <f>O606*param_bovins!$D$160*param_bovins!$A$160/1000</f>
        <v>0</v>
      </c>
      <c r="P607" s="30"/>
    </row>
    <row r="608" spans="1:16" x14ac:dyDescent="0.25">
      <c r="A608" s="33" t="s">
        <v>268</v>
      </c>
      <c r="B608" s="33"/>
      <c r="C608" t="s">
        <v>249</v>
      </c>
      <c r="D608">
        <f>D606*param_bovins!$D$160*param_bovins!$B$160/1000</f>
        <v>0</v>
      </c>
      <c r="E608">
        <f>E606*param_bovins!$D$160*param_bovins!$B$160/1000</f>
        <v>0</v>
      </c>
      <c r="F608">
        <f>F606*param_bovins!$D$160*param_bovins!$B$160/1000</f>
        <v>0</v>
      </c>
      <c r="G608">
        <f>G606*param_bovins!$D$160*param_bovins!$B$160/1000</f>
        <v>0</v>
      </c>
      <c r="H608">
        <f>H606*param_bovins!$D$160*param_bovins!$B$160/1000</f>
        <v>0</v>
      </c>
      <c r="I608">
        <f>I606*param_bovins!$D$160*param_bovins!$B$160/1000</f>
        <v>0</v>
      </c>
      <c r="J608">
        <f>J606*param_bovins!$D$160*param_bovins!$B$160/1000</f>
        <v>0</v>
      </c>
      <c r="K608">
        <f>K606*param_bovins!$D$160*param_bovins!$B$160/1000</f>
        <v>0</v>
      </c>
      <c r="L608">
        <f>L606*param_bovins!$D$160*param_bovins!$B$160/1000</f>
        <v>0</v>
      </c>
      <c r="M608">
        <f>M606*param_bovins!$D$160*param_bovins!$B$160/1000</f>
        <v>0</v>
      </c>
      <c r="N608">
        <f>N606*param_bovins!$D$160*param_bovins!$B$160/1000</f>
        <v>0</v>
      </c>
      <c r="O608">
        <f>O606*param_bovins!$D$160*param_bovins!$B$160/1000</f>
        <v>0</v>
      </c>
      <c r="P608" s="30"/>
    </row>
    <row r="609" spans="1:16" x14ac:dyDescent="0.25">
      <c r="A609" s="33" t="s">
        <v>269</v>
      </c>
      <c r="B609" s="33"/>
      <c r="C609" t="s">
        <v>271</v>
      </c>
      <c r="D609" s="60">
        <f>D606*param_bovins!$D$160*param_bovins!$C$160/1000</f>
        <v>0</v>
      </c>
      <c r="E609" s="60">
        <f>E606*param_bovins!$D$160*param_bovins!$C$160/1000</f>
        <v>0</v>
      </c>
      <c r="F609" s="60">
        <f>F606*param_bovins!$D$160*param_bovins!$C$160/1000</f>
        <v>0</v>
      </c>
      <c r="G609" s="60">
        <f>G606*param_bovins!$D$160*param_bovins!$C$160/1000</f>
        <v>0</v>
      </c>
      <c r="H609" s="60">
        <f>H606*param_bovins!$D$160*param_bovins!$C$160/1000</f>
        <v>0</v>
      </c>
      <c r="I609" s="60">
        <f>I606*param_bovins!$D$160*param_bovins!$C$160/1000</f>
        <v>0</v>
      </c>
      <c r="J609" s="60">
        <f>J606*param_bovins!$D$160*param_bovins!$C$160/1000</f>
        <v>0</v>
      </c>
      <c r="K609" s="60">
        <f>K606*param_bovins!$D$160*param_bovins!$C$160/1000</f>
        <v>0</v>
      </c>
      <c r="L609" s="60">
        <f>L606*param_bovins!$D$160*param_bovins!$C$160/1000</f>
        <v>0</v>
      </c>
      <c r="M609" s="60">
        <f>M606*param_bovins!$D$160*param_bovins!$C$160/1000</f>
        <v>0</v>
      </c>
      <c r="N609" s="60">
        <f>N606*param_bovins!$D$160*param_bovins!$C$160/1000</f>
        <v>0</v>
      </c>
      <c r="O609" s="60">
        <f>O606*param_bovins!$D$160*param_bovins!$C$160/1000</f>
        <v>0</v>
      </c>
      <c r="P609" s="30"/>
    </row>
    <row r="610" spans="1:16" x14ac:dyDescent="0.25">
      <c r="A610" s="33"/>
      <c r="B610" s="33"/>
      <c r="P610" s="30"/>
    </row>
    <row r="611" spans="1:16" x14ac:dyDescent="0.25">
      <c r="A611" s="9" t="s">
        <v>5</v>
      </c>
      <c r="B611" s="9"/>
      <c r="C611" s="9"/>
      <c r="D611" t="str">
        <f>'Feuille saisie commune'!F13</f>
        <v>Etable entravée, fumier</v>
      </c>
      <c r="P611" s="30"/>
    </row>
    <row r="612" spans="1:16" x14ac:dyDescent="0.25">
      <c r="A612" s="9"/>
      <c r="B612" s="9"/>
      <c r="C612" s="9"/>
      <c r="P612" s="30"/>
    </row>
    <row r="613" spans="1:16" x14ac:dyDescent="0.25">
      <c r="A613" t="s">
        <v>242</v>
      </c>
      <c r="C613" t="s">
        <v>205</v>
      </c>
      <c r="D613">
        <f>IF(D611="Logette, lisier",param_bovins!B107,IF(D611="Etable entravée, lisier",param_bovins!B108,IF(D611="Litière accumulée, couloir lisier",param_bovins!B109,IF(D611="Logette, mixte lisier/fumier",param_bovins!B110,IF(D611="Etable entravée, fumier",param_bovins!B111,IF(D611="Pente paillée",param_bovins!B112,IF(D611="Logette, fumier",param_bovins!B113,IF(D611=param_bovins!A114,param_bovins!B114,IF(D611=param_bovins!A115,param_bovins!B115,#N/A)))))))))</f>
        <v>0</v>
      </c>
      <c r="P613" s="30"/>
    </row>
    <row r="614" spans="1:16" x14ac:dyDescent="0.25">
      <c r="A614" t="s">
        <v>243</v>
      </c>
      <c r="C614" t="s">
        <v>205</v>
      </c>
      <c r="D614">
        <f>IF(D611="Logette, lisier",param_bovins!C107,IF(D611="Etable entravée, lisier",param_bovins!C108,IF(D611="Litière accumulée, couloir lisier",param_bovins!C109,IF(D611="Logette, mixte lisier/fumier",param_bovins!C110,IF(D611="Etable entravée, fumier",param_bovins!C111,IF(D611="Pente paillée",param_bovins!C112,IF(D611="Logette, fumier",param_bovins!C113,IF(D611=param_bovins!A114,param_bovins!C114,IF(D611=param_bovins!A115,param_bovins!C115,#N/A)))))))))</f>
        <v>1</v>
      </c>
      <c r="P614" s="30"/>
    </row>
    <row r="615" spans="1:16" x14ac:dyDescent="0.25">
      <c r="A615" t="s">
        <v>244</v>
      </c>
      <c r="B615" s="33"/>
      <c r="C615" t="s">
        <v>205</v>
      </c>
      <c r="D615">
        <f>IF(D611="Logette, mixte lisier/fumier",param_bovins!D66,IF(D611="Etable entravée, fumier",param_bovins!D67,IF(D611="Pente paillée",param_bovins!D68,IF(D611="Logette, fumier",param_bovins!D69,IF(D611=param_bovins!A70,param_bovins!D70,0)))))</f>
        <v>0.15</v>
      </c>
      <c r="P615" s="30"/>
    </row>
    <row r="616" spans="1:16" x14ac:dyDescent="0.25">
      <c r="A616" s="9" t="s">
        <v>294</v>
      </c>
      <c r="B616" s="9"/>
      <c r="C616" s="9" t="s">
        <v>50</v>
      </c>
      <c r="D616">
        <f>IF(D611=param_bovins!A109,param_bovins!F109,IF(D611=param_bovins!A110,param_bovins!F110,IF(D611=param_bovins!A111,param_bovins!F111,IF(D611=param_bovins!A112,param_bovins!F112,IF(D611=param_bovins!A113,param_bovins!F113,IF(D611=param_bovins!A114,param_bovins!F114,IF(D611=param_bovins!A115,param_bovins!F115,0)))))))</f>
        <v>0.75</v>
      </c>
      <c r="P616" s="30"/>
    </row>
    <row r="617" spans="1:16" x14ac:dyDescent="0.25">
      <c r="A617" t="s">
        <v>152</v>
      </c>
      <c r="B617" s="9"/>
      <c r="C617" s="33" t="s">
        <v>732</v>
      </c>
      <c r="D617">
        <f>IF(D611="Logette, lisier",param_bovins!G107,IF(D611="Etable entravée, lisier",param_bovins!G108,IF(D611="Litière accumulée, couloir lisier",param_bovins!G109,IF(D611="Logette, mixte lisier/fumier",param_bovins!G110,IF(D611="Etable entravée, fumier",param_bovins!G111,IF(D611="Pente paillée",param_bovins!G112,IF(D611="Logette, fumier",param_bovins!G113,IF(D611=param_bovins!A114,param_bovins!G114,IF(D611=param_bovins!A115,param_bovins!G115,#N/A)))))))))</f>
        <v>15</v>
      </c>
      <c r="P617" s="30"/>
    </row>
    <row r="618" spans="1:16" x14ac:dyDescent="0.25">
      <c r="A618" s="33" t="s">
        <v>734</v>
      </c>
      <c r="B618" s="33"/>
      <c r="C618" t="s">
        <v>205</v>
      </c>
      <c r="D618">
        <f>IF(D611="Logette, mixte lisier/fumier",IF('Saisie 2_bovins'!C44="couverte", param_bovins!H66, param_bovins!I66), IF(D611="Etable entravée, fumier",IF('Saisie 2_bovins'!C44="couverte",param_bovins!H67,param_bovins!I67),IF(D611="Pente paillée",IF('Saisie 2_bovins'!C44="couverte",param_bovins!H68,param_bovins!I68),IF(D611="Logette, fumier",IF('Saisie 2_bovins'!C44="couverte",param_bovins!H69, param_bovins!I69),IF(D611=param_bovins!A70,IF('Saisie 2_bovins'!C44="couverte",param_bovins!H70,param_bovins!I70),IF(D611=param_bovins!A71,IF('Saisie 2_bovins'!C44="couverte",param_bovins!H71,param_bovins!I71),IF(D611=param_bovins!A65,IF('Saisie 2_bovins'!C44="couverte",param_bovins!H65,param_bovins!I65),0)))))))</f>
        <v>9.5000000000000001E-2</v>
      </c>
      <c r="P618" s="30"/>
    </row>
    <row r="619" spans="1:16" x14ac:dyDescent="0.25">
      <c r="A619" s="33" t="s">
        <v>735</v>
      </c>
      <c r="B619" s="33"/>
      <c r="C619" t="s">
        <v>205</v>
      </c>
      <c r="D619">
        <f>IF(D611="Logette, mixte lisier/fumier",IF('Saisie 2_bovins'!C44="couverte", param_bovins!J66, param_bovins!K66), IF(D611="Etable entravée, fumier",IF('Saisie 2_bovins'!C44="couverte",param_bovins!J67,param_bovins!K67),IF(D611="Pente paillée",IF('Saisie 2_bovins'!C44="couverte",param_bovins!J68,param_bovins!K68),IF(D611="Logette, fumier",IF('Saisie 2_bovins'!C44="couverte",param_bovins!J69, param_bovins!K69),IF(D611=param_bovins!A70,IF('Saisie 2_bovins'!C44="couverte",param_bovins!J70,param_bovins!K70),IF(D611=param_bovins!A71,IF('Saisie 2_bovins'!C44="couverte",param_bovins!J71,param_bovins!K71),IF(D611=param_bovins!A65,IF('Saisie 2_bovins'!C44="couverte",param_bovins!J65,param_bovins!K65),0)))))))</f>
        <v>8.5499999999999993E-2</v>
      </c>
      <c r="P619" s="30"/>
    </row>
    <row r="620" spans="1:16" x14ac:dyDescent="0.25">
      <c r="A620" s="33" t="s">
        <v>736</v>
      </c>
      <c r="B620" s="33"/>
      <c r="C620" t="s">
        <v>205</v>
      </c>
      <c r="D620">
        <f>IF(D611="Logette, mixte lisier/fumier",IF('Saisie 2_bovins'!C44="couverte", param_bovins!L66, param_bovins!M66), IF(D611="Etable entravée, fumier",IF('Saisie 2_bovins'!C44="couverte",param_bovins!L67,param_bovins!M67),IF(D611="Pente paillée",IF('Saisie 2_bovins'!C44="couverte",param_bovins!L68,param_bovins!M68),IF(D611="Logette, fumier",IF('Saisie 2_bovins'!C44="couverte",param_bovins!L69, param_bovins!M69),IF(D611=param_bovins!A70,IF('Saisie 2_bovins'!C44="couverte",param_bovins!L70,param_bovins!M70),IF(D611=param_bovins!A71,IF('Saisie 2_bovins'!C44="couverte",param_bovins!L71,param_bovins!M71),IF(D611=param_bovins!A65,IF('Saisie 2_bovins'!C44="couverte",param_bovins!L65,param_bovins!M65),0)))))))</f>
        <v>0.10450000000000001</v>
      </c>
      <c r="P620" s="30"/>
    </row>
    <row r="621" spans="1:16" x14ac:dyDescent="0.25">
      <c r="A621" t="s">
        <v>782</v>
      </c>
      <c r="B621" s="33"/>
      <c r="C621" t="s">
        <v>783</v>
      </c>
      <c r="D621">
        <f>IF(D611=param_bovins!A109,param_bovins!N109,IF(D611=param_bovins!A110,param_bovins!N110,IF(D611=param_bovins!A111,param_bovins!N111,IF(D611=param_bovins!A112,param_bovins!N112,IF(D611=param_bovins!A113,param_bovins!N113,IF(D611=param_bovins!A114,param_bovins!N114,IF(D611=param_bovins!A115,param_bovins!N115,0)))))))</f>
        <v>18.5</v>
      </c>
      <c r="P621" s="30"/>
    </row>
    <row r="622" spans="1:16" x14ac:dyDescent="0.25">
      <c r="B622" s="33"/>
      <c r="C622" s="33"/>
      <c r="P622" s="30"/>
    </row>
    <row r="623" spans="1:16" x14ac:dyDescent="0.25">
      <c r="A623" t="s">
        <v>220</v>
      </c>
      <c r="B623" s="33" t="s">
        <v>227</v>
      </c>
      <c r="C623" t="s">
        <v>337</v>
      </c>
      <c r="D623" s="60">
        <f>D613*param_bovins!D12</f>
        <v>0</v>
      </c>
      <c r="P623" s="30"/>
    </row>
    <row r="624" spans="1:16" x14ac:dyDescent="0.25">
      <c r="A624" t="s">
        <v>221</v>
      </c>
      <c r="B624" t="s">
        <v>226</v>
      </c>
      <c r="C624" t="s">
        <v>337</v>
      </c>
      <c r="D624" s="60">
        <f>IF(D616=0,0,param_bovins!B12*D617*Calculs_bovins!D614/Calculs_bovins!D616)</f>
        <v>16</v>
      </c>
      <c r="G624" s="61">
        <f>D624*D616</f>
        <v>12</v>
      </c>
      <c r="H624" s="9" t="s">
        <v>303</v>
      </c>
      <c r="P624" s="30" t="s">
        <v>354</v>
      </c>
    </row>
    <row r="625" spans="1:16" x14ac:dyDescent="0.25">
      <c r="A625" t="s">
        <v>222</v>
      </c>
      <c r="B625" t="s">
        <v>228</v>
      </c>
      <c r="C625" t="s">
        <v>337</v>
      </c>
      <c r="D625" s="60">
        <f>D624*D615</f>
        <v>2.4</v>
      </c>
      <c r="P625" s="30"/>
    </row>
    <row r="626" spans="1:16" x14ac:dyDescent="0.25">
      <c r="P626" s="30"/>
    </row>
    <row r="627" spans="1:16" x14ac:dyDescent="0.25">
      <c r="A627" t="s">
        <v>353</v>
      </c>
      <c r="B627" t="s">
        <v>349</v>
      </c>
      <c r="C627" t="s">
        <v>205</v>
      </c>
      <c r="D627">
        <f>IF('Saisie 2_bovins'!$D$38&gt;=param_bovins!$A$136,param_bovins!$B$136,IF('Saisie 2_bovins'!$D$38&gt;=param_bovins!$A$137,param_bovins!$B$137,param_bovins!$B$138))</f>
        <v>0.7</v>
      </c>
      <c r="E627">
        <f>IF('Saisie 2_bovins'!$D$38&gt;=param_bovins!$A$136,param_bovins!$B$136,IF('Saisie 2_bovins'!$D$38&gt;=param_bovins!$A$137,param_bovins!$B$137,param_bovins!$B$138))</f>
        <v>0.7</v>
      </c>
      <c r="F627">
        <f>IF('Saisie 2_bovins'!$D$38&gt;=param_bovins!$A$136,param_bovins!$B$136,IF('Saisie 2_bovins'!$D$38&gt;=param_bovins!$A$137,param_bovins!$B$137,param_bovins!$B$138))</f>
        <v>0.7</v>
      </c>
      <c r="G627">
        <f>IF('Saisie 2_bovins'!$D$38&gt;=param_bovins!$A$136,param_bovins!$B$136,IF('Saisie 2_bovins'!$D$38&gt;=param_bovins!$A$137,param_bovins!$B$137,param_bovins!$B$138))</f>
        <v>0.7</v>
      </c>
      <c r="H627">
        <f>IF('Saisie 2_bovins'!$D$38&gt;=param_bovins!$A$136,param_bovins!$B$136,IF('Saisie 2_bovins'!$D$38&gt;=param_bovins!$A$137,param_bovins!$B$137,param_bovins!$B$138))</f>
        <v>0.7</v>
      </c>
      <c r="I627">
        <f>IF('Saisie 2_bovins'!$D$38&gt;=param_bovins!$A$136,param_bovins!$B$136,IF('Saisie 2_bovins'!$D$38&gt;=param_bovins!$A$137,param_bovins!$B$137,param_bovins!$B$138))</f>
        <v>0.7</v>
      </c>
      <c r="J627">
        <f>IF('Saisie 2_bovins'!$D$38&gt;=param_bovins!$A$136,param_bovins!$B$136,IF('Saisie 2_bovins'!$D$38&gt;=param_bovins!$A$137,param_bovins!$B$137,param_bovins!$B$138))</f>
        <v>0.7</v>
      </c>
      <c r="K627">
        <f>IF('Saisie 2_bovins'!$D$38&gt;=param_bovins!$A$136,param_bovins!$B$136,IF('Saisie 2_bovins'!$D$38&gt;=param_bovins!$A$137,param_bovins!$B$137,param_bovins!$B$138))</f>
        <v>0.7</v>
      </c>
      <c r="L627">
        <f>IF('Saisie 2_bovins'!$D$38&gt;=param_bovins!$A$136,param_bovins!$B$136,IF('Saisie 2_bovins'!$D$38&gt;=param_bovins!$A$137,param_bovins!$B$137,param_bovins!$B$138))</f>
        <v>0.7</v>
      </c>
      <c r="M627">
        <f>IF('Saisie 2_bovins'!$D$38&gt;=param_bovins!$A$136,param_bovins!$B$136,IF('Saisie 2_bovins'!$D$38&gt;=param_bovins!$A$137,param_bovins!$B$137,param_bovins!$B$138))</f>
        <v>0.7</v>
      </c>
      <c r="N627">
        <f>IF('Saisie 2_bovins'!$D$38&gt;=param_bovins!$A$136,param_bovins!$B$136,IF('Saisie 2_bovins'!$D$38&gt;=param_bovins!$A$137,param_bovins!$B$137,param_bovins!$B$138))</f>
        <v>0.7</v>
      </c>
      <c r="O627">
        <f>IF('Saisie 2_bovins'!$D$38&gt;=param_bovins!$A$136,param_bovins!$B$136,IF('Saisie 2_bovins'!$D$38&gt;=param_bovins!$A$137,param_bovins!$B$137,param_bovins!$B$138))</f>
        <v>0.7</v>
      </c>
      <c r="P627" s="30"/>
    </row>
    <row r="628" spans="1:16" x14ac:dyDescent="0.25">
      <c r="P628" s="30"/>
    </row>
    <row r="629" spans="1:16" x14ac:dyDescent="0.25">
      <c r="A629" s="33" t="s">
        <v>210</v>
      </c>
      <c r="B629" t="s">
        <v>355</v>
      </c>
      <c r="C629" t="s">
        <v>341</v>
      </c>
      <c r="D629" s="60">
        <f>$D623*D$627/12</f>
        <v>0</v>
      </c>
      <c r="E629" s="60">
        <f t="shared" ref="E629:O629" si="257">$D623*E$627/12</f>
        <v>0</v>
      </c>
      <c r="F629" s="60">
        <f t="shared" si="257"/>
        <v>0</v>
      </c>
      <c r="G629" s="60">
        <f t="shared" si="257"/>
        <v>0</v>
      </c>
      <c r="H629" s="60">
        <f t="shared" si="257"/>
        <v>0</v>
      </c>
      <c r="I629" s="60">
        <f t="shared" si="257"/>
        <v>0</v>
      </c>
      <c r="J629" s="60">
        <f t="shared" si="257"/>
        <v>0</v>
      </c>
      <c r="K629" s="60">
        <f t="shared" si="257"/>
        <v>0</v>
      </c>
      <c r="L629" s="60">
        <f t="shared" si="257"/>
        <v>0</v>
      </c>
      <c r="M629" s="60">
        <f t="shared" si="257"/>
        <v>0</v>
      </c>
      <c r="N629" s="60">
        <f t="shared" si="257"/>
        <v>0</v>
      </c>
      <c r="O629" s="60">
        <f t="shared" si="257"/>
        <v>0</v>
      </c>
      <c r="P629" s="30"/>
    </row>
    <row r="630" spans="1:16" x14ac:dyDescent="0.25">
      <c r="A630" s="33" t="s">
        <v>211</v>
      </c>
      <c r="B630" t="s">
        <v>355</v>
      </c>
      <c r="C630" t="s">
        <v>341</v>
      </c>
      <c r="D630" s="60">
        <f>$D624*D$627/12</f>
        <v>0.93333333333333324</v>
      </c>
      <c r="E630" s="60">
        <f t="shared" ref="E630:O630" si="258">$D624*E$627/12</f>
        <v>0.93333333333333324</v>
      </c>
      <c r="F630" s="60">
        <f t="shared" si="258"/>
        <v>0.93333333333333324</v>
      </c>
      <c r="G630" s="60">
        <f t="shared" si="258"/>
        <v>0.93333333333333324</v>
      </c>
      <c r="H630" s="60">
        <f t="shared" si="258"/>
        <v>0.93333333333333324</v>
      </c>
      <c r="I630" s="60">
        <f t="shared" si="258"/>
        <v>0.93333333333333324</v>
      </c>
      <c r="J630" s="60">
        <f t="shared" si="258"/>
        <v>0.93333333333333324</v>
      </c>
      <c r="K630" s="60">
        <f t="shared" si="258"/>
        <v>0.93333333333333324</v>
      </c>
      <c r="L630" s="60">
        <f t="shared" si="258"/>
        <v>0.93333333333333324</v>
      </c>
      <c r="M630" s="60">
        <f t="shared" si="258"/>
        <v>0.93333333333333324</v>
      </c>
      <c r="N630" s="60">
        <f t="shared" si="258"/>
        <v>0.93333333333333324</v>
      </c>
      <c r="O630" s="60">
        <f t="shared" si="258"/>
        <v>0.93333333333333324</v>
      </c>
      <c r="P630" s="30"/>
    </row>
    <row r="631" spans="1:16" x14ac:dyDescent="0.25">
      <c r="A631" s="33" t="s">
        <v>212</v>
      </c>
      <c r="B631" t="s">
        <v>362</v>
      </c>
      <c r="C631" t="s">
        <v>341</v>
      </c>
      <c r="D631" s="60">
        <f>$D$625*D627/12</f>
        <v>0.13999999999999999</v>
      </c>
      <c r="E631" s="60">
        <f t="shared" ref="E631:O631" si="259">$D$625*E627/12</f>
        <v>0.13999999999999999</v>
      </c>
      <c r="F631" s="60">
        <f t="shared" si="259"/>
        <v>0.13999999999999999</v>
      </c>
      <c r="G631" s="60">
        <f t="shared" si="259"/>
        <v>0.13999999999999999</v>
      </c>
      <c r="H631" s="60">
        <f t="shared" si="259"/>
        <v>0.13999999999999999</v>
      </c>
      <c r="I631" s="60">
        <f t="shared" si="259"/>
        <v>0.13999999999999999</v>
      </c>
      <c r="J631" s="60">
        <f t="shared" si="259"/>
        <v>0.13999999999999999</v>
      </c>
      <c r="K631" s="60">
        <f t="shared" si="259"/>
        <v>0.13999999999999999</v>
      </c>
      <c r="L631" s="60">
        <f t="shared" si="259"/>
        <v>0.13999999999999999</v>
      </c>
      <c r="M631" s="60">
        <f t="shared" si="259"/>
        <v>0.13999999999999999</v>
      </c>
      <c r="N631" s="60">
        <f t="shared" si="259"/>
        <v>0.13999999999999999</v>
      </c>
      <c r="O631" s="60">
        <f t="shared" si="259"/>
        <v>0.13999999999999999</v>
      </c>
      <c r="P631" s="30"/>
    </row>
    <row r="632" spans="1:16" x14ac:dyDescent="0.25">
      <c r="A632" s="9" t="s">
        <v>152</v>
      </c>
      <c r="B632" s="9"/>
      <c r="C632" s="9" t="s">
        <v>342</v>
      </c>
      <c r="D632" s="61">
        <f>D630*$D$616</f>
        <v>0.7</v>
      </c>
      <c r="E632" s="61">
        <f t="shared" ref="E632:O632" si="260">E630*$D$616</f>
        <v>0.7</v>
      </c>
      <c r="F632" s="61">
        <f t="shared" si="260"/>
        <v>0.7</v>
      </c>
      <c r="G632" s="61">
        <f t="shared" si="260"/>
        <v>0.7</v>
      </c>
      <c r="H632" s="61">
        <f t="shared" si="260"/>
        <v>0.7</v>
      </c>
      <c r="I632" s="61">
        <f t="shared" si="260"/>
        <v>0.7</v>
      </c>
      <c r="J632" s="61">
        <f t="shared" si="260"/>
        <v>0.7</v>
      </c>
      <c r="K632" s="61">
        <f t="shared" si="260"/>
        <v>0.7</v>
      </c>
      <c r="L632" s="61">
        <f t="shared" si="260"/>
        <v>0.7</v>
      </c>
      <c r="M632" s="61">
        <f t="shared" si="260"/>
        <v>0.7</v>
      </c>
      <c r="N632" s="61">
        <f t="shared" si="260"/>
        <v>0.7</v>
      </c>
      <c r="O632" s="61">
        <f t="shared" si="260"/>
        <v>0.7</v>
      </c>
      <c r="P632" s="30"/>
    </row>
    <row r="633" spans="1:16" x14ac:dyDescent="0.25">
      <c r="A633" s="33"/>
      <c r="B633" s="33"/>
      <c r="C633" s="33"/>
      <c r="P633" s="30"/>
    </row>
    <row r="634" spans="1:16" x14ac:dyDescent="0.25">
      <c r="A634" t="s">
        <v>210</v>
      </c>
      <c r="B634" t="s">
        <v>343</v>
      </c>
      <c r="C634" t="s">
        <v>229</v>
      </c>
      <c r="D634" s="60">
        <f>$D629*D$599*D$600</f>
        <v>0</v>
      </c>
      <c r="E634" s="60">
        <f t="shared" ref="E634:O634" si="261">$D629*E$599*E$600</f>
        <v>0</v>
      </c>
      <c r="F634" s="60">
        <f t="shared" si="261"/>
        <v>0</v>
      </c>
      <c r="G634" s="60">
        <f t="shared" si="261"/>
        <v>0</v>
      </c>
      <c r="H634" s="60">
        <f t="shared" si="261"/>
        <v>0</v>
      </c>
      <c r="I634" s="60">
        <f t="shared" si="261"/>
        <v>0</v>
      </c>
      <c r="J634" s="60">
        <f t="shared" si="261"/>
        <v>0</v>
      </c>
      <c r="K634" s="60">
        <f t="shared" si="261"/>
        <v>0</v>
      </c>
      <c r="L634" s="60">
        <f t="shared" si="261"/>
        <v>0</v>
      </c>
      <c r="M634" s="60">
        <f t="shared" si="261"/>
        <v>0</v>
      </c>
      <c r="N634" s="60">
        <f t="shared" si="261"/>
        <v>0</v>
      </c>
      <c r="O634" s="60">
        <f t="shared" si="261"/>
        <v>0</v>
      </c>
      <c r="P634" s="30"/>
    </row>
    <row r="635" spans="1:16" x14ac:dyDescent="0.25">
      <c r="A635" t="s">
        <v>211</v>
      </c>
      <c r="B635" t="s">
        <v>343</v>
      </c>
      <c r="C635" t="s">
        <v>229</v>
      </c>
      <c r="D635" s="60">
        <f t="shared" ref="D635:O636" si="262">$D630*D$599*D$600</f>
        <v>0</v>
      </c>
      <c r="E635" s="60">
        <f t="shared" si="262"/>
        <v>0</v>
      </c>
      <c r="F635" s="60">
        <f t="shared" si="262"/>
        <v>0</v>
      </c>
      <c r="G635" s="60">
        <f t="shared" si="262"/>
        <v>0</v>
      </c>
      <c r="H635" s="60">
        <f t="shared" si="262"/>
        <v>0</v>
      </c>
      <c r="I635" s="60">
        <f t="shared" si="262"/>
        <v>0</v>
      </c>
      <c r="J635" s="60">
        <f t="shared" si="262"/>
        <v>0</v>
      </c>
      <c r="K635" s="60">
        <f t="shared" si="262"/>
        <v>0</v>
      </c>
      <c r="L635" s="60">
        <f t="shared" si="262"/>
        <v>0</v>
      </c>
      <c r="M635" s="60">
        <f t="shared" si="262"/>
        <v>0</v>
      </c>
      <c r="N635" s="60">
        <f t="shared" si="262"/>
        <v>0</v>
      </c>
      <c r="O635" s="60">
        <f t="shared" si="262"/>
        <v>0</v>
      </c>
      <c r="P635" s="30"/>
    </row>
    <row r="636" spans="1:16" x14ac:dyDescent="0.25">
      <c r="A636" t="s">
        <v>212</v>
      </c>
      <c r="B636" t="s">
        <v>343</v>
      </c>
      <c r="C636" t="s">
        <v>229</v>
      </c>
      <c r="D636" s="60">
        <f t="shared" si="262"/>
        <v>0</v>
      </c>
      <c r="E636" s="60">
        <f t="shared" si="262"/>
        <v>0</v>
      </c>
      <c r="F636" s="60">
        <f t="shared" si="262"/>
        <v>0</v>
      </c>
      <c r="G636" s="60">
        <f t="shared" si="262"/>
        <v>0</v>
      </c>
      <c r="H636" s="60">
        <f t="shared" si="262"/>
        <v>0</v>
      </c>
      <c r="I636" s="60">
        <f t="shared" si="262"/>
        <v>0</v>
      </c>
      <c r="J636" s="60">
        <f t="shared" si="262"/>
        <v>0</v>
      </c>
      <c r="K636" s="60">
        <f t="shared" si="262"/>
        <v>0</v>
      </c>
      <c r="L636" s="60">
        <f t="shared" si="262"/>
        <v>0</v>
      </c>
      <c r="M636" s="60">
        <f t="shared" si="262"/>
        <v>0</v>
      </c>
      <c r="N636" s="60">
        <f t="shared" si="262"/>
        <v>0</v>
      </c>
      <c r="O636" s="60">
        <f t="shared" si="262"/>
        <v>0</v>
      </c>
      <c r="P636" s="30"/>
    </row>
    <row r="637" spans="1:16" x14ac:dyDescent="0.25">
      <c r="P637" s="30"/>
    </row>
    <row r="638" spans="1:16" x14ac:dyDescent="0.25">
      <c r="A638" s="44" t="s">
        <v>237</v>
      </c>
      <c r="B638" s="44" t="s">
        <v>344</v>
      </c>
      <c r="C638" s="44" t="s">
        <v>239</v>
      </c>
      <c r="D638" s="63">
        <f>D632*D600*D599</f>
        <v>0</v>
      </c>
      <c r="E638" s="63">
        <f t="shared" ref="E638:K638" si="263">E632*E600*E599</f>
        <v>0</v>
      </c>
      <c r="F638" s="63">
        <f t="shared" si="263"/>
        <v>0</v>
      </c>
      <c r="G638" s="63">
        <f t="shared" si="263"/>
        <v>0</v>
      </c>
      <c r="H638" s="63">
        <f t="shared" si="263"/>
        <v>0</v>
      </c>
      <c r="I638" s="63">
        <f t="shared" si="263"/>
        <v>0</v>
      </c>
      <c r="J638" s="63">
        <f t="shared" si="263"/>
        <v>0</v>
      </c>
      <c r="K638" s="63">
        <f t="shared" si="263"/>
        <v>0</v>
      </c>
      <c r="L638" s="63">
        <f>L632*L600*L599</f>
        <v>0</v>
      </c>
      <c r="M638" s="63">
        <f t="shared" ref="M638:O638" si="264">M632*M600*M599</f>
        <v>0</v>
      </c>
      <c r="N638" s="63">
        <f t="shared" si="264"/>
        <v>0</v>
      </c>
      <c r="O638" s="63">
        <f t="shared" si="264"/>
        <v>0</v>
      </c>
      <c r="P638" s="30"/>
    </row>
    <row r="639" spans="1:16" x14ac:dyDescent="0.25">
      <c r="A639" s="44" t="s">
        <v>245</v>
      </c>
      <c r="B639" s="44"/>
      <c r="C639" s="44" t="s">
        <v>229</v>
      </c>
      <c r="D639" s="63">
        <f>D636+D634</f>
        <v>0</v>
      </c>
      <c r="E639" s="63">
        <f t="shared" ref="E639:O639" si="265">E636+E634</f>
        <v>0</v>
      </c>
      <c r="F639" s="63">
        <f t="shared" si="265"/>
        <v>0</v>
      </c>
      <c r="G639" s="63">
        <f t="shared" si="265"/>
        <v>0</v>
      </c>
      <c r="H639" s="63">
        <f t="shared" si="265"/>
        <v>0</v>
      </c>
      <c r="I639" s="63">
        <f t="shared" si="265"/>
        <v>0</v>
      </c>
      <c r="J639" s="63">
        <f t="shared" si="265"/>
        <v>0</v>
      </c>
      <c r="K639" s="63">
        <f t="shared" si="265"/>
        <v>0</v>
      </c>
      <c r="L639" s="63">
        <f t="shared" si="265"/>
        <v>0</v>
      </c>
      <c r="M639" s="63">
        <f t="shared" si="265"/>
        <v>0</v>
      </c>
      <c r="N639" s="63">
        <f t="shared" si="265"/>
        <v>0</v>
      </c>
      <c r="O639" s="63">
        <f t="shared" si="265"/>
        <v>0</v>
      </c>
      <c r="P639" s="30"/>
    </row>
    <row r="640" spans="1:16" x14ac:dyDescent="0.25">
      <c r="A640" s="44"/>
      <c r="B640" s="44"/>
      <c r="C640" s="44"/>
      <c r="P640" s="30"/>
    </row>
    <row r="641" spans="1:16" x14ac:dyDescent="0.25">
      <c r="A641" s="9" t="s">
        <v>241</v>
      </c>
      <c r="B641" s="9" t="s">
        <v>240</v>
      </c>
      <c r="C641" s="9" t="s">
        <v>246</v>
      </c>
      <c r="D641" s="60">
        <f>(D601+D607)*$D$613</f>
        <v>0</v>
      </c>
      <c r="E641" s="60">
        <f>(E601+E607)*$D$613</f>
        <v>0</v>
      </c>
      <c r="F641" s="60">
        <f t="shared" ref="F641:O641" si="266">(F601+F607)*$D$613</f>
        <v>0</v>
      </c>
      <c r="G641" s="60">
        <f t="shared" si="266"/>
        <v>0</v>
      </c>
      <c r="H641" s="60">
        <f t="shared" si="266"/>
        <v>0</v>
      </c>
      <c r="I641" s="60">
        <f t="shared" si="266"/>
        <v>0</v>
      </c>
      <c r="J641" s="60">
        <f t="shared" si="266"/>
        <v>0</v>
      </c>
      <c r="K641" s="60">
        <f t="shared" si="266"/>
        <v>0</v>
      </c>
      <c r="L641" s="60">
        <f t="shared" si="266"/>
        <v>0</v>
      </c>
      <c r="M641" s="60">
        <f t="shared" si="266"/>
        <v>0</v>
      </c>
      <c r="N641" s="60">
        <f t="shared" si="266"/>
        <v>0</v>
      </c>
      <c r="O641" s="60">
        <f t="shared" si="266"/>
        <v>0</v>
      </c>
      <c r="P641" s="30"/>
    </row>
    <row r="642" spans="1:16" x14ac:dyDescent="0.25">
      <c r="A642" s="9" t="s">
        <v>247</v>
      </c>
      <c r="B642" s="9" t="s">
        <v>248</v>
      </c>
      <c r="C642" s="9" t="s">
        <v>249</v>
      </c>
      <c r="D642" s="60">
        <f t="shared" ref="D642:O643" si="267">(D602+D608)*$D$613</f>
        <v>0</v>
      </c>
      <c r="E642" s="60">
        <f>(E602+E608)*$D$613</f>
        <v>0</v>
      </c>
      <c r="F642" s="60">
        <f t="shared" si="267"/>
        <v>0</v>
      </c>
      <c r="G642" s="60">
        <f t="shared" si="267"/>
        <v>0</v>
      </c>
      <c r="H642" s="60">
        <f t="shared" si="267"/>
        <v>0</v>
      </c>
      <c r="I642" s="60">
        <f t="shared" si="267"/>
        <v>0</v>
      </c>
      <c r="J642" s="60">
        <f t="shared" si="267"/>
        <v>0</v>
      </c>
      <c r="K642" s="60">
        <f t="shared" si="267"/>
        <v>0</v>
      </c>
      <c r="L642" s="60">
        <f t="shared" si="267"/>
        <v>0</v>
      </c>
      <c r="M642" s="60">
        <f t="shared" si="267"/>
        <v>0</v>
      </c>
      <c r="N642" s="60">
        <f t="shared" si="267"/>
        <v>0</v>
      </c>
      <c r="O642" s="60">
        <f t="shared" si="267"/>
        <v>0</v>
      </c>
      <c r="P642" s="30"/>
    </row>
    <row r="643" spans="1:16" x14ac:dyDescent="0.25">
      <c r="A643" s="9" t="s">
        <v>250</v>
      </c>
      <c r="B643" s="9" t="s">
        <v>251</v>
      </c>
      <c r="C643" s="9" t="s">
        <v>252</v>
      </c>
      <c r="D643" s="60">
        <f t="shared" si="267"/>
        <v>0</v>
      </c>
      <c r="E643" s="60">
        <f t="shared" si="267"/>
        <v>0</v>
      </c>
      <c r="F643" s="60">
        <f t="shared" si="267"/>
        <v>0</v>
      </c>
      <c r="G643" s="60">
        <f t="shared" si="267"/>
        <v>0</v>
      </c>
      <c r="H643" s="60">
        <f t="shared" si="267"/>
        <v>0</v>
      </c>
      <c r="I643" s="60">
        <f t="shared" si="267"/>
        <v>0</v>
      </c>
      <c r="J643" s="60">
        <f t="shared" si="267"/>
        <v>0</v>
      </c>
      <c r="K643" s="60">
        <f t="shared" si="267"/>
        <v>0</v>
      </c>
      <c r="L643" s="60">
        <f t="shared" si="267"/>
        <v>0</v>
      </c>
      <c r="M643" s="60">
        <f t="shared" si="267"/>
        <v>0</v>
      </c>
      <c r="N643" s="60">
        <f t="shared" si="267"/>
        <v>0</v>
      </c>
      <c r="O643" s="60">
        <f t="shared" si="267"/>
        <v>0</v>
      </c>
      <c r="P643" s="30"/>
    </row>
    <row r="644" spans="1:16" x14ac:dyDescent="0.25">
      <c r="A644" s="9"/>
      <c r="B644" s="9"/>
      <c r="C644" s="9"/>
      <c r="P644" s="30"/>
    </row>
    <row r="645" spans="1:16" x14ac:dyDescent="0.25">
      <c r="A645" s="9" t="s">
        <v>253</v>
      </c>
      <c r="B645" s="9" t="s">
        <v>306</v>
      </c>
      <c r="C645" s="9" t="s">
        <v>246</v>
      </c>
      <c r="D645" s="60">
        <f>(D601+D607)*$D$614</f>
        <v>0</v>
      </c>
      <c r="E645" s="60">
        <f t="shared" ref="E645:O645" si="268">(E601+E607)*$D$614</f>
        <v>0</v>
      </c>
      <c r="F645" s="60">
        <f t="shared" si="268"/>
        <v>0</v>
      </c>
      <c r="G645" s="60">
        <f t="shared" si="268"/>
        <v>0</v>
      </c>
      <c r="H645" s="60">
        <f t="shared" si="268"/>
        <v>0</v>
      </c>
      <c r="I645" s="60">
        <f t="shared" si="268"/>
        <v>0</v>
      </c>
      <c r="J645" s="60">
        <f t="shared" si="268"/>
        <v>0</v>
      </c>
      <c r="K645" s="60">
        <f t="shared" si="268"/>
        <v>0</v>
      </c>
      <c r="L645" s="60">
        <f t="shared" si="268"/>
        <v>0</v>
      </c>
      <c r="M645" s="60">
        <f t="shared" si="268"/>
        <v>0</v>
      </c>
      <c r="N645" s="60">
        <f t="shared" si="268"/>
        <v>0</v>
      </c>
      <c r="O645" s="60">
        <f t="shared" si="268"/>
        <v>0</v>
      </c>
      <c r="P645" s="30"/>
    </row>
    <row r="646" spans="1:16" x14ac:dyDescent="0.25">
      <c r="A646" s="9" t="s">
        <v>254</v>
      </c>
      <c r="B646" s="9" t="s">
        <v>307</v>
      </c>
      <c r="C646" s="9" t="s">
        <v>249</v>
      </c>
      <c r="D646" s="60">
        <f t="shared" ref="D646:O647" si="269">(D602+D608)*$D$614</f>
        <v>0</v>
      </c>
      <c r="E646" s="60">
        <f t="shared" si="269"/>
        <v>0</v>
      </c>
      <c r="F646" s="60">
        <f t="shared" si="269"/>
        <v>0</v>
      </c>
      <c r="G646" s="60">
        <f t="shared" si="269"/>
        <v>0</v>
      </c>
      <c r="H646" s="60">
        <f t="shared" si="269"/>
        <v>0</v>
      </c>
      <c r="I646" s="60">
        <f t="shared" si="269"/>
        <v>0</v>
      </c>
      <c r="J646" s="60">
        <f t="shared" si="269"/>
        <v>0</v>
      </c>
      <c r="K646" s="60">
        <f t="shared" si="269"/>
        <v>0</v>
      </c>
      <c r="L646" s="60">
        <f t="shared" si="269"/>
        <v>0</v>
      </c>
      <c r="M646" s="60">
        <f t="shared" si="269"/>
        <v>0</v>
      </c>
      <c r="N646" s="60">
        <f t="shared" si="269"/>
        <v>0</v>
      </c>
      <c r="O646" s="60">
        <f t="shared" si="269"/>
        <v>0</v>
      </c>
      <c r="P646" s="30"/>
    </row>
    <row r="647" spans="1:16" x14ac:dyDescent="0.25">
      <c r="A647" s="9" t="s">
        <v>255</v>
      </c>
      <c r="B647" s="9" t="s">
        <v>308</v>
      </c>
      <c r="C647" s="9" t="s">
        <v>252</v>
      </c>
      <c r="D647" s="60">
        <f t="shared" si="269"/>
        <v>0</v>
      </c>
      <c r="E647" s="60">
        <f t="shared" si="269"/>
        <v>0</v>
      </c>
      <c r="F647" s="60">
        <f t="shared" si="269"/>
        <v>0</v>
      </c>
      <c r="G647" s="60">
        <f t="shared" si="269"/>
        <v>0</v>
      </c>
      <c r="H647" s="60">
        <f t="shared" si="269"/>
        <v>0</v>
      </c>
      <c r="I647" s="60">
        <f t="shared" si="269"/>
        <v>0</v>
      </c>
      <c r="J647" s="60">
        <f t="shared" si="269"/>
        <v>0</v>
      </c>
      <c r="K647" s="60">
        <f t="shared" si="269"/>
        <v>0</v>
      </c>
      <c r="L647" s="60">
        <f t="shared" si="269"/>
        <v>0</v>
      </c>
      <c r="M647" s="60">
        <f t="shared" si="269"/>
        <v>0</v>
      </c>
      <c r="N647" s="60">
        <f t="shared" si="269"/>
        <v>0</v>
      </c>
      <c r="O647" s="60">
        <f t="shared" si="269"/>
        <v>0</v>
      </c>
      <c r="P647" s="30"/>
    </row>
    <row r="648" spans="1:16" x14ac:dyDescent="0.25">
      <c r="A648" s="9"/>
      <c r="B648" s="9"/>
      <c r="C648" s="9"/>
      <c r="D648" s="60"/>
      <c r="E648" s="60"/>
      <c r="F648" s="60"/>
      <c r="G648" s="60"/>
      <c r="H648" s="60"/>
      <c r="I648" s="60"/>
      <c r="J648" s="60"/>
      <c r="K648" s="60"/>
      <c r="L648" s="60"/>
      <c r="M648" s="60"/>
      <c r="N648" s="60"/>
      <c r="O648" s="60"/>
      <c r="P648" s="30"/>
    </row>
    <row r="649" spans="1:16" x14ac:dyDescent="0.25">
      <c r="A649" s="9" t="s">
        <v>256</v>
      </c>
      <c r="B649" s="9" t="s">
        <v>737</v>
      </c>
      <c r="C649" s="9" t="s">
        <v>246</v>
      </c>
      <c r="D649" s="34">
        <f>D645*$D618</f>
        <v>0</v>
      </c>
      <c r="E649" s="34">
        <f t="shared" ref="E649:O649" si="270">E645*$D618</f>
        <v>0</v>
      </c>
      <c r="F649" s="34">
        <f t="shared" si="270"/>
        <v>0</v>
      </c>
      <c r="G649" s="34">
        <f t="shared" si="270"/>
        <v>0</v>
      </c>
      <c r="H649" s="34">
        <f t="shared" si="270"/>
        <v>0</v>
      </c>
      <c r="I649" s="34">
        <f t="shared" si="270"/>
        <v>0</v>
      </c>
      <c r="J649" s="34">
        <f t="shared" si="270"/>
        <v>0</v>
      </c>
      <c r="K649" s="34">
        <f t="shared" si="270"/>
        <v>0</v>
      </c>
      <c r="L649" s="34">
        <f t="shared" si="270"/>
        <v>0</v>
      </c>
      <c r="M649" s="34">
        <f t="shared" si="270"/>
        <v>0</v>
      </c>
      <c r="N649" s="34">
        <f t="shared" si="270"/>
        <v>0</v>
      </c>
      <c r="O649" s="34">
        <f t="shared" si="270"/>
        <v>0</v>
      </c>
      <c r="P649" s="66"/>
    </row>
    <row r="650" spans="1:16" x14ac:dyDescent="0.25">
      <c r="A650" s="9" t="s">
        <v>257</v>
      </c>
      <c r="B650" s="9" t="s">
        <v>738</v>
      </c>
      <c r="C650" s="9" t="s">
        <v>249</v>
      </c>
      <c r="D650" s="34">
        <f>D646*$D619</f>
        <v>0</v>
      </c>
      <c r="E650" s="34">
        <f t="shared" ref="E650:O650" si="271">E646*$D619</f>
        <v>0</v>
      </c>
      <c r="F650" s="34">
        <f t="shared" si="271"/>
        <v>0</v>
      </c>
      <c r="G650" s="34">
        <f t="shared" si="271"/>
        <v>0</v>
      </c>
      <c r="H650" s="34">
        <f t="shared" si="271"/>
        <v>0</v>
      </c>
      <c r="I650" s="34">
        <f t="shared" si="271"/>
        <v>0</v>
      </c>
      <c r="J650" s="34">
        <f t="shared" si="271"/>
        <v>0</v>
      </c>
      <c r="K650" s="34">
        <f t="shared" si="271"/>
        <v>0</v>
      </c>
      <c r="L650" s="34">
        <f t="shared" si="271"/>
        <v>0</v>
      </c>
      <c r="M650" s="34">
        <f t="shared" si="271"/>
        <v>0</v>
      </c>
      <c r="N650" s="34">
        <f t="shared" si="271"/>
        <v>0</v>
      </c>
      <c r="O650" s="34">
        <f t="shared" si="271"/>
        <v>0</v>
      </c>
      <c r="P650" s="30"/>
    </row>
    <row r="651" spans="1:16" x14ac:dyDescent="0.25">
      <c r="A651" s="9" t="s">
        <v>258</v>
      </c>
      <c r="B651" s="9" t="s">
        <v>739</v>
      </c>
      <c r="C651" s="9" t="s">
        <v>252</v>
      </c>
      <c r="D651" s="34">
        <f>D647*$D620</f>
        <v>0</v>
      </c>
      <c r="E651" s="34">
        <f t="shared" ref="E651:O651" si="272">E647*$D620</f>
        <v>0</v>
      </c>
      <c r="F651" s="34">
        <f t="shared" si="272"/>
        <v>0</v>
      </c>
      <c r="G651" s="34">
        <f t="shared" si="272"/>
        <v>0</v>
      </c>
      <c r="H651" s="34">
        <f t="shared" si="272"/>
        <v>0</v>
      </c>
      <c r="I651" s="34">
        <f t="shared" si="272"/>
        <v>0</v>
      </c>
      <c r="J651" s="34">
        <f t="shared" si="272"/>
        <v>0</v>
      </c>
      <c r="K651" s="34">
        <f t="shared" si="272"/>
        <v>0</v>
      </c>
      <c r="L651" s="34">
        <f t="shared" si="272"/>
        <v>0</v>
      </c>
      <c r="M651" s="34">
        <f t="shared" si="272"/>
        <v>0</v>
      </c>
      <c r="N651" s="34">
        <f t="shared" si="272"/>
        <v>0</v>
      </c>
      <c r="O651" s="34">
        <f t="shared" si="272"/>
        <v>0</v>
      </c>
      <c r="P651" s="30"/>
    </row>
    <row r="652" spans="1:16" x14ac:dyDescent="0.25">
      <c r="A652" s="9"/>
      <c r="B652" s="9"/>
      <c r="C652" s="9"/>
      <c r="D652" s="34"/>
      <c r="E652" s="34"/>
      <c r="F652" s="34"/>
      <c r="G652" s="34"/>
      <c r="H652" s="34"/>
      <c r="I652" s="34"/>
      <c r="J652" s="34"/>
      <c r="K652" s="34"/>
      <c r="L652" s="34"/>
      <c r="M652" s="34"/>
      <c r="N652" s="34"/>
      <c r="O652" s="34"/>
      <c r="P652" s="30"/>
    </row>
    <row r="653" spans="1:16" x14ac:dyDescent="0.25">
      <c r="A653" s="9" t="s">
        <v>740</v>
      </c>
      <c r="B653" s="9" t="s">
        <v>743</v>
      </c>
      <c r="C653" s="9" t="s">
        <v>246</v>
      </c>
      <c r="D653" s="34">
        <f>D645-D649</f>
        <v>0</v>
      </c>
      <c r="E653" s="34">
        <f t="shared" ref="E653:O653" si="273">E645-E649</f>
        <v>0</v>
      </c>
      <c r="F653" s="34">
        <f t="shared" si="273"/>
        <v>0</v>
      </c>
      <c r="G653" s="34">
        <f t="shared" si="273"/>
        <v>0</v>
      </c>
      <c r="H653" s="34">
        <f t="shared" si="273"/>
        <v>0</v>
      </c>
      <c r="I653" s="34">
        <f t="shared" si="273"/>
        <v>0</v>
      </c>
      <c r="J653" s="34">
        <f t="shared" si="273"/>
        <v>0</v>
      </c>
      <c r="K653" s="34">
        <f t="shared" si="273"/>
        <v>0</v>
      </c>
      <c r="L653" s="34">
        <f t="shared" si="273"/>
        <v>0</v>
      </c>
      <c r="M653" s="34">
        <f t="shared" si="273"/>
        <v>0</v>
      </c>
      <c r="N653" s="34">
        <f t="shared" si="273"/>
        <v>0</v>
      </c>
      <c r="O653" s="34">
        <f t="shared" si="273"/>
        <v>0</v>
      </c>
      <c r="P653" s="30"/>
    </row>
    <row r="654" spans="1:16" x14ac:dyDescent="0.25">
      <c r="A654" s="9" t="s">
        <v>741</v>
      </c>
      <c r="B654" s="9" t="s">
        <v>744</v>
      </c>
      <c r="C654" s="9" t="s">
        <v>249</v>
      </c>
      <c r="D654" s="34">
        <f t="shared" ref="D654:O655" si="274">D646-D650</f>
        <v>0</v>
      </c>
      <c r="E654" s="34">
        <f t="shared" si="274"/>
        <v>0</v>
      </c>
      <c r="F654" s="34">
        <f t="shared" si="274"/>
        <v>0</v>
      </c>
      <c r="G654" s="34">
        <f t="shared" si="274"/>
        <v>0</v>
      </c>
      <c r="H654" s="34">
        <f t="shared" si="274"/>
        <v>0</v>
      </c>
      <c r="I654" s="34">
        <f t="shared" si="274"/>
        <v>0</v>
      </c>
      <c r="J654" s="34">
        <f t="shared" si="274"/>
        <v>0</v>
      </c>
      <c r="K654" s="34">
        <f t="shared" si="274"/>
        <v>0</v>
      </c>
      <c r="L654" s="34">
        <f t="shared" si="274"/>
        <v>0</v>
      </c>
      <c r="M654" s="34">
        <f t="shared" si="274"/>
        <v>0</v>
      </c>
      <c r="N654" s="34">
        <f>N646-N650</f>
        <v>0</v>
      </c>
      <c r="O654" s="34">
        <f t="shared" si="274"/>
        <v>0</v>
      </c>
      <c r="P654" s="30"/>
    </row>
    <row r="655" spans="1:16" x14ac:dyDescent="0.25">
      <c r="A655" s="9" t="s">
        <v>742</v>
      </c>
      <c r="B655" s="9" t="s">
        <v>745</v>
      </c>
      <c r="C655" s="9" t="s">
        <v>252</v>
      </c>
      <c r="D655" s="34">
        <f t="shared" si="274"/>
        <v>0</v>
      </c>
      <c r="E655" s="34">
        <f t="shared" si="274"/>
        <v>0</v>
      </c>
      <c r="F655" s="34">
        <f t="shared" si="274"/>
        <v>0</v>
      </c>
      <c r="G655" s="34">
        <f t="shared" si="274"/>
        <v>0</v>
      </c>
      <c r="H655" s="34">
        <f t="shared" si="274"/>
        <v>0</v>
      </c>
      <c r="I655" s="34">
        <f t="shared" si="274"/>
        <v>0</v>
      </c>
      <c r="J655" s="34">
        <f t="shared" si="274"/>
        <v>0</v>
      </c>
      <c r="K655" s="34">
        <f t="shared" si="274"/>
        <v>0</v>
      </c>
      <c r="L655" s="34">
        <f t="shared" si="274"/>
        <v>0</v>
      </c>
      <c r="M655" s="34">
        <f t="shared" si="274"/>
        <v>0</v>
      </c>
      <c r="N655" s="34">
        <f t="shared" si="274"/>
        <v>0</v>
      </c>
      <c r="O655" s="34">
        <f t="shared" si="274"/>
        <v>0</v>
      </c>
      <c r="P655" s="30"/>
    </row>
    <row r="656" spans="1:16" x14ac:dyDescent="0.25">
      <c r="D656" s="34"/>
      <c r="E656" s="34"/>
      <c r="F656" s="34"/>
      <c r="G656" s="34"/>
      <c r="H656" s="34"/>
      <c r="I656" s="34"/>
      <c r="J656" s="34"/>
      <c r="K656" s="34"/>
      <c r="L656" s="34"/>
      <c r="M656" s="34"/>
      <c r="N656" s="34"/>
      <c r="O656" s="34"/>
      <c r="P656" s="30"/>
    </row>
    <row r="657" spans="1:16" x14ac:dyDescent="0.25">
      <c r="A657" s="5" t="s">
        <v>259</v>
      </c>
      <c r="B657" s="9" t="s">
        <v>260</v>
      </c>
      <c r="C657" s="33"/>
      <c r="D657" s="34"/>
      <c r="E657" s="34"/>
      <c r="F657" s="34"/>
      <c r="G657" s="34"/>
      <c r="H657" s="34"/>
      <c r="I657" s="34"/>
      <c r="J657" s="34"/>
      <c r="K657" s="34"/>
      <c r="L657" s="34"/>
      <c r="M657" s="34"/>
      <c r="N657" s="34"/>
      <c r="O657" s="34"/>
      <c r="P657" s="30"/>
    </row>
    <row r="658" spans="1:16" x14ac:dyDescent="0.25">
      <c r="A658" s="5" t="s">
        <v>58</v>
      </c>
      <c r="B658" s="44" t="s">
        <v>261</v>
      </c>
      <c r="C658" s="5" t="s">
        <v>233</v>
      </c>
      <c r="D658" s="69">
        <f>IF(D$639&lt;=0,0,(D641+D649)/D$639)</f>
        <v>0</v>
      </c>
      <c r="E658" s="69">
        <f t="shared" ref="E658:O658" si="275">IF(E$639&lt;=0,0,(E641+E649)/E$639)</f>
        <v>0</v>
      </c>
      <c r="F658" s="69">
        <f t="shared" si="275"/>
        <v>0</v>
      </c>
      <c r="G658" s="69">
        <f t="shared" si="275"/>
        <v>0</v>
      </c>
      <c r="H658" s="69">
        <f t="shared" si="275"/>
        <v>0</v>
      </c>
      <c r="I658" s="69">
        <f t="shared" si="275"/>
        <v>0</v>
      </c>
      <c r="J658" s="69">
        <f t="shared" si="275"/>
        <v>0</v>
      </c>
      <c r="K658" s="69">
        <f t="shared" si="275"/>
        <v>0</v>
      </c>
      <c r="L658" s="69">
        <f t="shared" si="275"/>
        <v>0</v>
      </c>
      <c r="M658" s="69">
        <f t="shared" si="275"/>
        <v>0</v>
      </c>
      <c r="N658" s="69">
        <f t="shared" si="275"/>
        <v>0</v>
      </c>
      <c r="O658" s="69">
        <f t="shared" si="275"/>
        <v>0</v>
      </c>
      <c r="P658" s="30" t="s">
        <v>365</v>
      </c>
    </row>
    <row r="659" spans="1:16" x14ac:dyDescent="0.25">
      <c r="A659" s="5" t="s">
        <v>59</v>
      </c>
      <c r="B659" s="5"/>
      <c r="C659" s="5" t="s">
        <v>234</v>
      </c>
      <c r="D659" s="69">
        <f>IF(D$639&lt;=0,0,(D642+D650)/D$639)</f>
        <v>0</v>
      </c>
      <c r="E659" s="69">
        <f t="shared" ref="E659:O659" si="276">IF(E$639&lt;=0,0,(E642+E650)/E$639)</f>
        <v>0</v>
      </c>
      <c r="F659" s="69">
        <f t="shared" si="276"/>
        <v>0</v>
      </c>
      <c r="G659" s="69">
        <f t="shared" si="276"/>
        <v>0</v>
      </c>
      <c r="H659" s="69">
        <f t="shared" si="276"/>
        <v>0</v>
      </c>
      <c r="I659" s="69">
        <f t="shared" si="276"/>
        <v>0</v>
      </c>
      <c r="J659" s="69">
        <f t="shared" si="276"/>
        <v>0</v>
      </c>
      <c r="K659" s="69">
        <f t="shared" si="276"/>
        <v>0</v>
      </c>
      <c r="L659" s="69">
        <f t="shared" si="276"/>
        <v>0</v>
      </c>
      <c r="M659" s="69">
        <f t="shared" si="276"/>
        <v>0</v>
      </c>
      <c r="N659" s="69">
        <f t="shared" si="276"/>
        <v>0</v>
      </c>
      <c r="O659" s="69">
        <f t="shared" si="276"/>
        <v>0</v>
      </c>
      <c r="P659" s="30"/>
    </row>
    <row r="660" spans="1:16" x14ac:dyDescent="0.25">
      <c r="A660" s="5" t="s">
        <v>60</v>
      </c>
      <c r="B660" s="5"/>
      <c r="C660" s="5" t="s">
        <v>235</v>
      </c>
      <c r="D660" s="69">
        <f t="shared" ref="D660:O660" si="277">IF(D$639&lt;=0,0,(D643+D651)/D$639)</f>
        <v>0</v>
      </c>
      <c r="E660" s="69">
        <f t="shared" si="277"/>
        <v>0</v>
      </c>
      <c r="F660" s="69">
        <f t="shared" si="277"/>
        <v>0</v>
      </c>
      <c r="G660" s="69">
        <f t="shared" si="277"/>
        <v>0</v>
      </c>
      <c r="H660" s="69">
        <f t="shared" si="277"/>
        <v>0</v>
      </c>
      <c r="I660" s="69">
        <f t="shared" si="277"/>
        <v>0</v>
      </c>
      <c r="J660" s="69">
        <f t="shared" si="277"/>
        <v>0</v>
      </c>
      <c r="K660" s="69">
        <f t="shared" si="277"/>
        <v>0</v>
      </c>
      <c r="L660" s="69">
        <f t="shared" si="277"/>
        <v>0</v>
      </c>
      <c r="M660" s="69">
        <f t="shared" si="277"/>
        <v>0</v>
      </c>
      <c r="N660" s="69">
        <f t="shared" si="277"/>
        <v>0</v>
      </c>
      <c r="O660" s="69">
        <f t="shared" si="277"/>
        <v>0</v>
      </c>
      <c r="P660" s="30"/>
    </row>
    <row r="661" spans="1:16" x14ac:dyDescent="0.25">
      <c r="A661" s="33"/>
      <c r="B661" s="33"/>
      <c r="C661" s="33"/>
      <c r="D661" s="69"/>
      <c r="E661" s="69"/>
      <c r="F661" s="69"/>
      <c r="G661" s="69"/>
      <c r="H661" s="69"/>
      <c r="I661" s="69"/>
      <c r="J661" s="69"/>
      <c r="K661" s="69"/>
      <c r="L661" s="69"/>
      <c r="M661" s="69"/>
      <c r="N661" s="69"/>
      <c r="O661" s="69"/>
      <c r="P661" s="30"/>
    </row>
    <row r="662" spans="1:16" x14ac:dyDescent="0.25">
      <c r="A662" s="5" t="s">
        <v>236</v>
      </c>
      <c r="B662" s="33"/>
      <c r="C662" s="33"/>
      <c r="D662" s="69"/>
      <c r="E662" s="69"/>
      <c r="F662" s="69"/>
      <c r="G662" s="69"/>
      <c r="H662" s="69"/>
      <c r="I662" s="69"/>
      <c r="J662" s="69"/>
      <c r="K662" s="69"/>
      <c r="L662" s="69"/>
      <c r="M662" s="69"/>
      <c r="N662" s="69"/>
      <c r="O662" s="69"/>
      <c r="P662" s="30"/>
    </row>
    <row r="663" spans="1:16" x14ac:dyDescent="0.25">
      <c r="A663" s="5" t="s">
        <v>58</v>
      </c>
      <c r="B663" s="239" t="s">
        <v>274</v>
      </c>
      <c r="C663" s="5" t="s">
        <v>275</v>
      </c>
      <c r="D663" s="69">
        <f>IF(D$638&lt;=0,0,D653/D$638)</f>
        <v>0</v>
      </c>
      <c r="E663" s="69">
        <f t="shared" ref="E663:O663" si="278">IF(E$638&lt;=0,0,E653/E$638)</f>
        <v>0</v>
      </c>
      <c r="F663" s="69">
        <f t="shared" si="278"/>
        <v>0</v>
      </c>
      <c r="G663" s="69">
        <f t="shared" si="278"/>
        <v>0</v>
      </c>
      <c r="H663" s="69">
        <f t="shared" si="278"/>
        <v>0</v>
      </c>
      <c r="I663" s="69">
        <f t="shared" si="278"/>
        <v>0</v>
      </c>
      <c r="J663" s="69">
        <f t="shared" si="278"/>
        <v>0</v>
      </c>
      <c r="K663" s="69">
        <f t="shared" si="278"/>
        <v>0</v>
      </c>
      <c r="L663" s="69">
        <f t="shared" si="278"/>
        <v>0</v>
      </c>
      <c r="M663" s="69">
        <f t="shared" si="278"/>
        <v>0</v>
      </c>
      <c r="N663" s="69">
        <f t="shared" si="278"/>
        <v>0</v>
      </c>
      <c r="O663" s="69">
        <f t="shared" si="278"/>
        <v>0</v>
      </c>
      <c r="P663" s="30"/>
    </row>
    <row r="664" spans="1:16" x14ac:dyDescent="0.25">
      <c r="A664" s="5" t="s">
        <v>59</v>
      </c>
      <c r="B664" s="5"/>
      <c r="C664" s="5" t="s">
        <v>276</v>
      </c>
      <c r="D664" s="69">
        <f>IF(D$638&lt;=0,0,D654/D$638)</f>
        <v>0</v>
      </c>
      <c r="E664" s="69">
        <f t="shared" ref="E664:O664" si="279">IF(E$638&lt;=0,0,E654/E$638)</f>
        <v>0</v>
      </c>
      <c r="F664" s="69">
        <f t="shared" si="279"/>
        <v>0</v>
      </c>
      <c r="G664" s="69">
        <f t="shared" si="279"/>
        <v>0</v>
      </c>
      <c r="H664" s="69">
        <f t="shared" si="279"/>
        <v>0</v>
      </c>
      <c r="I664" s="69">
        <f t="shared" si="279"/>
        <v>0</v>
      </c>
      <c r="J664" s="69">
        <f t="shared" si="279"/>
        <v>0</v>
      </c>
      <c r="K664" s="69">
        <f t="shared" si="279"/>
        <v>0</v>
      </c>
      <c r="L664" s="69">
        <f t="shared" si="279"/>
        <v>0</v>
      </c>
      <c r="M664" s="69">
        <f t="shared" si="279"/>
        <v>0</v>
      </c>
      <c r="N664" s="69">
        <f t="shared" si="279"/>
        <v>0</v>
      </c>
      <c r="O664" s="69">
        <f t="shared" si="279"/>
        <v>0</v>
      </c>
      <c r="P664" s="30"/>
    </row>
    <row r="665" spans="1:16" x14ac:dyDescent="0.25">
      <c r="A665" s="5" t="s">
        <v>60</v>
      </c>
      <c r="B665" s="5"/>
      <c r="C665" s="5" t="s">
        <v>277</v>
      </c>
      <c r="D665" s="69">
        <f>IF(D$638&lt;=0,0,D655/D$638)</f>
        <v>0</v>
      </c>
      <c r="E665" s="69">
        <f t="shared" ref="E665:O665" si="280">IF(E$638&lt;=0,0,E655/E$638)</f>
        <v>0</v>
      </c>
      <c r="F665" s="69">
        <f t="shared" si="280"/>
        <v>0</v>
      </c>
      <c r="G665" s="69">
        <f t="shared" si="280"/>
        <v>0</v>
      </c>
      <c r="H665" s="69">
        <f t="shared" si="280"/>
        <v>0</v>
      </c>
      <c r="I665" s="69">
        <f t="shared" si="280"/>
        <v>0</v>
      </c>
      <c r="J665" s="69">
        <f t="shared" si="280"/>
        <v>0</v>
      </c>
      <c r="K665" s="69">
        <f t="shared" si="280"/>
        <v>0</v>
      </c>
      <c r="L665" s="69">
        <f t="shared" si="280"/>
        <v>0</v>
      </c>
      <c r="M665" s="69">
        <f t="shared" si="280"/>
        <v>0</v>
      </c>
      <c r="N665" s="69">
        <f t="shared" si="280"/>
        <v>0</v>
      </c>
      <c r="O665" s="69">
        <f t="shared" si="280"/>
        <v>0</v>
      </c>
      <c r="P665" s="30"/>
    </row>
    <row r="666" spans="1:16" x14ac:dyDescent="0.25">
      <c r="P666" s="30"/>
    </row>
    <row r="667" spans="1:16" x14ac:dyDescent="0.25">
      <c r="P667" s="30"/>
    </row>
    <row r="668" spans="1:16" x14ac:dyDescent="0.25">
      <c r="P668" s="30"/>
    </row>
    <row r="669" spans="1:16" x14ac:dyDescent="0.25">
      <c r="A669" s="23" t="s">
        <v>367</v>
      </c>
      <c r="B669" s="23" t="s">
        <v>371</v>
      </c>
      <c r="C669" s="82"/>
      <c r="D669" s="82"/>
      <c r="E669" s="82"/>
      <c r="F669" s="82"/>
      <c r="G669" s="82"/>
      <c r="H669" s="82"/>
      <c r="I669" s="82"/>
      <c r="J669" s="82"/>
      <c r="K669" s="82"/>
      <c r="L669" s="82"/>
      <c r="M669" s="82"/>
      <c r="N669" s="82"/>
      <c r="O669" s="82"/>
      <c r="P669" s="82"/>
    </row>
    <row r="670" spans="1:16" x14ac:dyDescent="0.25">
      <c r="A670" t="s">
        <v>725</v>
      </c>
      <c r="B670" t="s">
        <v>726</v>
      </c>
      <c r="C670" t="s">
        <v>50</v>
      </c>
      <c r="D670" s="60">
        <f>(('Saisie 2_bovins'!C54/12/3)+40)/100</f>
        <v>0.6052777777777778</v>
      </c>
      <c r="P670" s="30"/>
    </row>
    <row r="671" spans="1:16" x14ac:dyDescent="0.25">
      <c r="A671" t="s">
        <v>373</v>
      </c>
      <c r="B671" t="s">
        <v>724</v>
      </c>
      <c r="C671" t="s">
        <v>374</v>
      </c>
      <c r="D671" s="229">
        <f>('Saisie 2_bovins'!C47+'Saisie 2_bovins'!C49+'Saisie 2_bovins'!C51+'Saisie 2_bovins'!C52)*'Saisie 2_bovins'!C54/1000*D670</f>
        <v>87.223554166666659</v>
      </c>
      <c r="P671" s="30" t="s">
        <v>377</v>
      </c>
    </row>
    <row r="672" spans="1:16" x14ac:dyDescent="0.25">
      <c r="A672" t="s">
        <v>375</v>
      </c>
      <c r="B672" t="s">
        <v>376</v>
      </c>
      <c r="C672" t="s">
        <v>374</v>
      </c>
      <c r="D672" s="229">
        <f>D671+'Saisie 2_bovins'!K47</f>
        <v>409.91355416666664</v>
      </c>
      <c r="P672" s="30" t="s">
        <v>382</v>
      </c>
    </row>
    <row r="673" spans="1:17" x14ac:dyDescent="0.25">
      <c r="P673" s="30" t="s">
        <v>755</v>
      </c>
    </row>
    <row r="674" spans="1:17" x14ac:dyDescent="0.25">
      <c r="P674" s="30"/>
    </row>
    <row r="675" spans="1:17" x14ac:dyDescent="0.25">
      <c r="A675" s="23" t="s">
        <v>378</v>
      </c>
      <c r="B675" s="23"/>
      <c r="C675" s="23"/>
      <c r="D675" s="23"/>
      <c r="E675" s="23"/>
      <c r="F675" s="23"/>
      <c r="G675" s="23"/>
      <c r="H675" s="23"/>
      <c r="I675" s="23"/>
      <c r="J675" s="23"/>
      <c r="K675" s="23"/>
      <c r="L675" s="23"/>
      <c r="M675" s="23"/>
      <c r="N675" s="23"/>
      <c r="O675" s="23"/>
      <c r="P675" s="23"/>
    </row>
    <row r="676" spans="1:17" x14ac:dyDescent="0.25">
      <c r="A676" s="5" t="s">
        <v>380</v>
      </c>
      <c r="B676" s="5"/>
      <c r="C676" s="5" t="s">
        <v>239</v>
      </c>
      <c r="D676" s="230">
        <f>D69+D155+D236+D317+D398+D478+D558+D638</f>
        <v>31.350492813141678</v>
      </c>
      <c r="E676" s="230">
        <f t="shared" ref="E676:O676" si="281">E69+E155+E236+E317+E398+E478+E558+E638</f>
        <v>31.350492813141678</v>
      </c>
      <c r="F676" s="230">
        <f t="shared" si="281"/>
        <v>29.219876796714573</v>
      </c>
      <c r="G676" s="230">
        <f t="shared" si="281"/>
        <v>17.044928131416835</v>
      </c>
      <c r="H676" s="230">
        <f t="shared" si="281"/>
        <v>0</v>
      </c>
      <c r="I676" s="230">
        <f t="shared" si="281"/>
        <v>0</v>
      </c>
      <c r="J676" s="230">
        <f t="shared" si="281"/>
        <v>0</v>
      </c>
      <c r="K676" s="230">
        <f t="shared" si="281"/>
        <v>0</v>
      </c>
      <c r="L676" s="230">
        <f t="shared" si="281"/>
        <v>0</v>
      </c>
      <c r="M676" s="230">
        <f t="shared" si="281"/>
        <v>12.174948665297739</v>
      </c>
      <c r="N676" s="230">
        <f t="shared" si="281"/>
        <v>12.174948665297739</v>
      </c>
      <c r="O676" s="230">
        <f t="shared" si="281"/>
        <v>12.174948665297739</v>
      </c>
      <c r="P676" s="31">
        <f>SUM(D676:O676)</f>
        <v>145.49063655030798</v>
      </c>
      <c r="Q676" s="291" t="s">
        <v>881</v>
      </c>
    </row>
    <row r="677" spans="1:17" x14ac:dyDescent="0.25">
      <c r="A677" t="s">
        <v>381</v>
      </c>
      <c r="C677" t="s">
        <v>229</v>
      </c>
      <c r="D677" s="229">
        <f>D70+D156+D237+D318+D399+D479+D559+D639</f>
        <v>91.080000000000013</v>
      </c>
      <c r="E677" s="229">
        <f t="shared" ref="E677:O677" si="282">E70+E156+E237+E318+E399+E479+E559+E639</f>
        <v>91.080000000000013</v>
      </c>
      <c r="F677" s="229">
        <f t="shared" si="282"/>
        <v>45.540000000000006</v>
      </c>
      <c r="G677" s="229">
        <f t="shared" si="282"/>
        <v>22.770000000000003</v>
      </c>
      <c r="H677" s="229">
        <f t="shared" si="282"/>
        <v>22.770000000000003</v>
      </c>
      <c r="I677" s="229">
        <f t="shared" si="282"/>
        <v>22.770000000000003</v>
      </c>
      <c r="J677" s="229">
        <f t="shared" si="282"/>
        <v>22.770000000000003</v>
      </c>
      <c r="K677" s="229">
        <f t="shared" si="282"/>
        <v>26.565000000000005</v>
      </c>
      <c r="L677" s="229">
        <f t="shared" si="282"/>
        <v>37.95000000000001</v>
      </c>
      <c r="M677" s="229">
        <f t="shared" si="282"/>
        <v>37.95000000000001</v>
      </c>
      <c r="N677" s="229">
        <f t="shared" si="282"/>
        <v>91.080000000000013</v>
      </c>
      <c r="O677" s="229">
        <f t="shared" si="282"/>
        <v>91.080000000000013</v>
      </c>
      <c r="P677" s="30"/>
    </row>
    <row r="678" spans="1:17" x14ac:dyDescent="0.25">
      <c r="A678" t="s">
        <v>383</v>
      </c>
      <c r="C678" t="s">
        <v>229</v>
      </c>
      <c r="D678" s="229">
        <f>$D$672/12</f>
        <v>34.159462847222223</v>
      </c>
      <c r="E678" s="229">
        <f t="shared" ref="E678:O678" si="283">$D$672/12</f>
        <v>34.159462847222223</v>
      </c>
      <c r="F678" s="229">
        <f t="shared" si="283"/>
        <v>34.159462847222223</v>
      </c>
      <c r="G678" s="229">
        <f t="shared" si="283"/>
        <v>34.159462847222223</v>
      </c>
      <c r="H678" s="229">
        <f t="shared" si="283"/>
        <v>34.159462847222223</v>
      </c>
      <c r="I678" s="229">
        <f t="shared" si="283"/>
        <v>34.159462847222223</v>
      </c>
      <c r="J678" s="229">
        <f t="shared" si="283"/>
        <v>34.159462847222223</v>
      </c>
      <c r="K678" s="229">
        <f t="shared" si="283"/>
        <v>34.159462847222223</v>
      </c>
      <c r="L678" s="229">
        <f t="shared" si="283"/>
        <v>34.159462847222223</v>
      </c>
      <c r="M678" s="229">
        <f t="shared" si="283"/>
        <v>34.159462847222223</v>
      </c>
      <c r="N678" s="229">
        <f t="shared" si="283"/>
        <v>34.159462847222223</v>
      </c>
      <c r="O678" s="229">
        <f t="shared" si="283"/>
        <v>34.159462847222223</v>
      </c>
      <c r="P678" s="30"/>
    </row>
    <row r="679" spans="1:17" x14ac:dyDescent="0.25">
      <c r="A679" s="5" t="s">
        <v>379</v>
      </c>
      <c r="B679" s="5"/>
      <c r="C679" s="5" t="s">
        <v>229</v>
      </c>
      <c r="D679" s="230">
        <f>D678+D677</f>
        <v>125.23946284722223</v>
      </c>
      <c r="E679" s="230">
        <f t="shared" ref="E679:O679" si="284">E678+E677</f>
        <v>125.23946284722223</v>
      </c>
      <c r="F679" s="230">
        <f t="shared" si="284"/>
        <v>79.699462847222236</v>
      </c>
      <c r="G679" s="230">
        <f t="shared" si="284"/>
        <v>56.929462847222226</v>
      </c>
      <c r="H679" s="230">
        <f t="shared" si="284"/>
        <v>56.929462847222226</v>
      </c>
      <c r="I679" s="230">
        <f t="shared" si="284"/>
        <v>56.929462847222226</v>
      </c>
      <c r="J679" s="230">
        <f t="shared" si="284"/>
        <v>56.929462847222226</v>
      </c>
      <c r="K679" s="230">
        <f t="shared" si="284"/>
        <v>60.724462847222227</v>
      </c>
      <c r="L679" s="230">
        <f t="shared" si="284"/>
        <v>72.109462847222233</v>
      </c>
      <c r="M679" s="230">
        <f t="shared" si="284"/>
        <v>72.109462847222233</v>
      </c>
      <c r="N679" s="230">
        <f t="shared" si="284"/>
        <v>125.23946284722223</v>
      </c>
      <c r="O679" s="230">
        <f t="shared" si="284"/>
        <v>125.23946284722223</v>
      </c>
      <c r="P679" s="31">
        <f>SUM(D679:O679)</f>
        <v>1013.3185541666667</v>
      </c>
    </row>
    <row r="680" spans="1:17" x14ac:dyDescent="0.25">
      <c r="A680" s="5"/>
      <c r="B680" s="5"/>
      <c r="C680" s="5"/>
      <c r="D680" s="230"/>
      <c r="E680" s="230"/>
      <c r="F680" s="230"/>
      <c r="G680" s="230"/>
      <c r="H680" s="230"/>
      <c r="I680" s="230"/>
      <c r="J680" s="230"/>
      <c r="K680" s="230"/>
      <c r="L680" s="230"/>
      <c r="M680" s="230"/>
      <c r="N680" s="230"/>
      <c r="O680" s="230"/>
      <c r="P680" s="31"/>
    </row>
    <row r="681" spans="1:17" x14ac:dyDescent="0.25">
      <c r="A681" s="5" t="s">
        <v>772</v>
      </c>
      <c r="B681" s="5"/>
      <c r="C681" s="5" t="s">
        <v>303</v>
      </c>
      <c r="D681" s="230">
        <f>'Saisie 2_bovins'!$H$48/12</f>
        <v>0</v>
      </c>
      <c r="E681" s="230">
        <f>'Saisie 2_bovins'!$H$48/12</f>
        <v>0</v>
      </c>
      <c r="F681" s="230">
        <f>'Saisie 2_bovins'!$H$48/12</f>
        <v>0</v>
      </c>
      <c r="G681" s="230">
        <f>'Saisie 2_bovins'!$H$48/12</f>
        <v>0</v>
      </c>
      <c r="H681" s="230">
        <f>'Saisie 2_bovins'!$H$48/12</f>
        <v>0</v>
      </c>
      <c r="I681" s="230">
        <f>'Saisie 2_bovins'!$H$48/12</f>
        <v>0</v>
      </c>
      <c r="J681" s="230">
        <f>'Saisie 2_bovins'!$H$48/12</f>
        <v>0</v>
      </c>
      <c r="K681" s="230">
        <f>'Saisie 2_bovins'!$H$48/12</f>
        <v>0</v>
      </c>
      <c r="L681" s="230">
        <f>'Saisie 2_bovins'!$H$48/12</f>
        <v>0</v>
      </c>
      <c r="M681" s="230">
        <f>'Saisie 2_bovins'!$H$48/12</f>
        <v>0</v>
      </c>
      <c r="N681" s="230">
        <f>'Saisie 2_bovins'!$H$48/12</f>
        <v>0</v>
      </c>
      <c r="O681" s="230">
        <f>'Saisie 2_bovins'!$H$48/12</f>
        <v>0</v>
      </c>
      <c r="P681" s="31"/>
    </row>
    <row r="682" spans="1:17" x14ac:dyDescent="0.25">
      <c r="A682" s="5" t="s">
        <v>773</v>
      </c>
      <c r="B682" s="5"/>
      <c r="C682" s="5" t="s">
        <v>374</v>
      </c>
      <c r="D682" s="230">
        <f>'Saisie 2_bovins'!$H$47/12</f>
        <v>0</v>
      </c>
      <c r="E682" s="230">
        <f>'Saisie 2_bovins'!$H$47/12</f>
        <v>0</v>
      </c>
      <c r="F682" s="230">
        <f>'Saisie 2_bovins'!$H$47/12</f>
        <v>0</v>
      </c>
      <c r="G682" s="230">
        <f>'Saisie 2_bovins'!$H$47/12</f>
        <v>0</v>
      </c>
      <c r="H682" s="230">
        <f>'Saisie 2_bovins'!$H$47/12</f>
        <v>0</v>
      </c>
      <c r="I682" s="230">
        <f>'Saisie 2_bovins'!$H$47/12</f>
        <v>0</v>
      </c>
      <c r="J682" s="230">
        <f>'Saisie 2_bovins'!$H$47/12</f>
        <v>0</v>
      </c>
      <c r="K682" s="230">
        <f>'Saisie 2_bovins'!$H$47/12</f>
        <v>0</v>
      </c>
      <c r="L682" s="230">
        <f>'Saisie 2_bovins'!$H$47/12</f>
        <v>0</v>
      </c>
      <c r="M682" s="230">
        <f>'Saisie 2_bovins'!$H$47/12</f>
        <v>0</v>
      </c>
      <c r="N682" s="230">
        <f>'Saisie 2_bovins'!$H$47/12</f>
        <v>0</v>
      </c>
      <c r="O682" s="230">
        <f>'Saisie 2_bovins'!$H$47/12</f>
        <v>0</v>
      </c>
      <c r="P682" s="31"/>
    </row>
    <row r="683" spans="1:17" x14ac:dyDescent="0.25">
      <c r="P683" s="30"/>
    </row>
    <row r="684" spans="1:17" x14ac:dyDescent="0.25">
      <c r="P684" s="30"/>
    </row>
    <row r="685" spans="1:17" x14ac:dyDescent="0.25">
      <c r="A685" s="23" t="s">
        <v>384</v>
      </c>
      <c r="B685" s="23"/>
      <c r="C685" s="23"/>
      <c r="D685" s="23"/>
      <c r="E685" s="23"/>
      <c r="F685" s="23"/>
      <c r="G685" s="23"/>
      <c r="H685" s="23"/>
      <c r="I685" s="23"/>
      <c r="J685" s="23"/>
      <c r="K685" s="23"/>
      <c r="L685" s="23"/>
      <c r="M685" s="23"/>
      <c r="N685" s="23"/>
      <c r="O685" s="23"/>
      <c r="P685" s="30" t="s">
        <v>397</v>
      </c>
    </row>
    <row r="686" spans="1:17" x14ac:dyDescent="0.25">
      <c r="A686" t="s">
        <v>385</v>
      </c>
      <c r="C686" t="s">
        <v>388</v>
      </c>
      <c r="D686" s="28">
        <f>D72+D80+D158+D166+D239+D247+D320+D328+D401+D409+D481+D489+D561+D569+D641+D649</f>
        <v>633.40006347462429</v>
      </c>
      <c r="E686" s="28">
        <f t="shared" ref="E686:O686" si="285">E72+E80+E158+E166+E239+E247+E320+E328+E401+E409+E481+E489+E561+E569+E641+E649</f>
        <v>633.40006347462429</v>
      </c>
      <c r="F686" s="28">
        <f t="shared" si="285"/>
        <v>189.80711312455045</v>
      </c>
      <c r="G686" s="28">
        <f t="shared" si="285"/>
        <v>98.772106222182813</v>
      </c>
      <c r="H686" s="28">
        <f t="shared" si="285"/>
        <v>97.745806749492871</v>
      </c>
      <c r="I686" s="28">
        <f t="shared" si="285"/>
        <v>114.3162861244929</v>
      </c>
      <c r="J686" s="28">
        <f t="shared" si="285"/>
        <v>137.45685206199286</v>
      </c>
      <c r="K686" s="28">
        <f t="shared" si="285"/>
        <v>158.89619615565837</v>
      </c>
      <c r="L686" s="28">
        <f t="shared" si="285"/>
        <v>234.66025031165483</v>
      </c>
      <c r="M686" s="28">
        <f t="shared" si="285"/>
        <v>242.0207067145295</v>
      </c>
      <c r="N686" s="28">
        <f t="shared" si="285"/>
        <v>643.79959715084635</v>
      </c>
      <c r="O686" s="28">
        <f t="shared" si="285"/>
        <v>643.79959715084635</v>
      </c>
      <c r="P686" s="31">
        <f>SUM(D686:O686)</f>
        <v>3828.0746387154954</v>
      </c>
    </row>
    <row r="687" spans="1:17" x14ac:dyDescent="0.25">
      <c r="A687" t="s">
        <v>386</v>
      </c>
      <c r="C687" t="s">
        <v>388</v>
      </c>
      <c r="D687" s="28">
        <f>D73+D81+D159+D167+D240+D248+D321+D329+D402+D410+D482+D490+D562+D570+D642+D650</f>
        <v>83.401646602896307</v>
      </c>
      <c r="E687" s="28">
        <f t="shared" ref="E687:O687" si="286">E73+E81+E159+E167+E240+E248+E321+E329+E402+E410+E482+E490+E562+E570+E642+E650</f>
        <v>83.401646602896307</v>
      </c>
      <c r="F687" s="28">
        <f t="shared" si="286"/>
        <v>29.400076139107295</v>
      </c>
      <c r="G687" s="28">
        <f t="shared" si="286"/>
        <v>15.132899848814425</v>
      </c>
      <c r="H687" s="28">
        <f t="shared" si="286"/>
        <v>14.955644771196356</v>
      </c>
      <c r="I687" s="28">
        <f t="shared" si="286"/>
        <v>16.446777896196359</v>
      </c>
      <c r="J687" s="28">
        <f t="shared" si="286"/>
        <v>18.529463833696362</v>
      </c>
      <c r="K687" s="28">
        <f t="shared" si="286"/>
        <v>21.474778378895746</v>
      </c>
      <c r="L687" s="28">
        <f t="shared" si="286"/>
        <v>31.471658993660593</v>
      </c>
      <c r="M687" s="28">
        <f t="shared" si="286"/>
        <v>32.918381137757102</v>
      </c>
      <c r="N687" s="28">
        <f t="shared" si="286"/>
        <v>84.280355603881929</v>
      </c>
      <c r="O687" s="28">
        <f t="shared" si="286"/>
        <v>84.280355603881929</v>
      </c>
      <c r="P687" s="31">
        <f t="shared" ref="P687:P688" si="287">SUM(D687:O687)</f>
        <v>515.69368541288065</v>
      </c>
    </row>
    <row r="688" spans="1:17" x14ac:dyDescent="0.25">
      <c r="A688" t="s">
        <v>387</v>
      </c>
      <c r="C688" t="s">
        <v>388</v>
      </c>
      <c r="D688" s="28">
        <f>D74+D82+D160+D168+D241+D249+D322+D330+D403+D411+D483+D491+D563+D571+D643+D651</f>
        <v>373.00377589261473</v>
      </c>
      <c r="E688" s="28">
        <f t="shared" ref="E688:O688" si="288">E74+E82+E160+E168+E241+E249+E322+E330+E403+E411+E483+E491+E563+E571+E643+E651</f>
        <v>373.00377589261473</v>
      </c>
      <c r="F688" s="28">
        <f t="shared" si="288"/>
        <v>200.13979201651745</v>
      </c>
      <c r="G688" s="28">
        <f t="shared" si="288"/>
        <v>106.08788549234497</v>
      </c>
      <c r="H688" s="28">
        <f t="shared" si="288"/>
        <v>104.95089083932912</v>
      </c>
      <c r="I688" s="28">
        <f t="shared" si="288"/>
        <v>105.12590646432913</v>
      </c>
      <c r="J688" s="28">
        <f t="shared" si="288"/>
        <v>100.01895052682912</v>
      </c>
      <c r="K688" s="28">
        <f t="shared" si="288"/>
        <v>114.851111552134</v>
      </c>
      <c r="L688" s="28">
        <f t="shared" si="288"/>
        <v>166.40655816971523</v>
      </c>
      <c r="M688" s="28">
        <f t="shared" si="288"/>
        <v>168.84376447955856</v>
      </c>
      <c r="N688" s="28">
        <f t="shared" si="288"/>
        <v>375.11956279215985</v>
      </c>
      <c r="O688" s="28">
        <f t="shared" si="288"/>
        <v>375.11956279215985</v>
      </c>
      <c r="P688" s="31">
        <f t="shared" si="287"/>
        <v>2562.6715369103063</v>
      </c>
    </row>
    <row r="689" spans="1:17" x14ac:dyDescent="0.25">
      <c r="D689" s="28"/>
      <c r="E689" s="28"/>
      <c r="F689" s="28"/>
      <c r="G689" s="28"/>
      <c r="H689" s="28"/>
      <c r="I689" s="28"/>
      <c r="J689" s="28"/>
      <c r="K689" s="28"/>
      <c r="L689" s="28"/>
      <c r="M689" s="28"/>
      <c r="N689" s="28"/>
      <c r="O689" s="28"/>
      <c r="P689" s="30"/>
    </row>
    <row r="690" spans="1:17" x14ac:dyDescent="0.25">
      <c r="A690" t="s">
        <v>740</v>
      </c>
      <c r="C690" t="s">
        <v>388</v>
      </c>
      <c r="D690" s="28">
        <f>D84+D170+D251+D332+D653+D413+D493+D573</f>
        <v>214.76938493864478</v>
      </c>
      <c r="E690" s="28">
        <f t="shared" ref="E690:O690" si="289">E84+E170+E251+E332+E653+E413+E493+E573</f>
        <v>214.76938493864478</v>
      </c>
      <c r="F690" s="28">
        <f t="shared" si="289"/>
        <v>192.6719066809035</v>
      </c>
      <c r="G690" s="28">
        <f t="shared" si="289"/>
        <v>101.6036477963039</v>
      </c>
      <c r="H690" s="28">
        <f t="shared" si="289"/>
        <v>0</v>
      </c>
      <c r="I690" s="28">
        <f t="shared" si="289"/>
        <v>0</v>
      </c>
      <c r="J690" s="28">
        <f t="shared" si="289"/>
        <v>0</v>
      </c>
      <c r="K690" s="28">
        <f t="shared" si="289"/>
        <v>0</v>
      </c>
      <c r="L690" s="28">
        <f t="shared" si="289"/>
        <v>0</v>
      </c>
      <c r="M690" s="28">
        <f t="shared" si="289"/>
        <v>91.068258884599601</v>
      </c>
      <c r="N690" s="28">
        <f t="shared" si="289"/>
        <v>91.068258884599601</v>
      </c>
      <c r="O690" s="28">
        <f t="shared" si="289"/>
        <v>91.068258884599601</v>
      </c>
      <c r="P690" s="31">
        <f>SUM(D690:O690)</f>
        <v>997.01910100829571</v>
      </c>
    </row>
    <row r="691" spans="1:17" x14ac:dyDescent="0.25">
      <c r="A691" t="s">
        <v>741</v>
      </c>
      <c r="C691" t="s">
        <v>388</v>
      </c>
      <c r="D691" s="28">
        <f>D85+D171+D252+D333+D654+D414+D494+D574</f>
        <v>40.19000699420944</v>
      </c>
      <c r="E691" s="28">
        <f t="shared" ref="E691:O691" si="290">E85+E171+E252+E333+E654+E414+E494+E574</f>
        <v>40.19000699420944</v>
      </c>
      <c r="F691" s="28">
        <f t="shared" si="290"/>
        <v>36.211315816016423</v>
      </c>
      <c r="G691" s="28">
        <f t="shared" si="290"/>
        <v>19.51775354661191</v>
      </c>
      <c r="H691" s="28">
        <f t="shared" si="290"/>
        <v>0</v>
      </c>
      <c r="I691" s="28">
        <f t="shared" si="290"/>
        <v>0</v>
      </c>
      <c r="J691" s="28">
        <f t="shared" si="290"/>
        <v>0</v>
      </c>
      <c r="K691" s="28">
        <f t="shared" si="290"/>
        <v>0</v>
      </c>
      <c r="L691" s="28">
        <f t="shared" si="290"/>
        <v>0</v>
      </c>
      <c r="M691" s="28">
        <f t="shared" si="290"/>
        <v>16.693562269404516</v>
      </c>
      <c r="N691" s="28">
        <f t="shared" si="290"/>
        <v>16.693562269404516</v>
      </c>
      <c r="O691" s="28">
        <f t="shared" si="290"/>
        <v>16.693562269404516</v>
      </c>
      <c r="P691" s="31">
        <f t="shared" ref="P691:P692" si="291">SUM(D691:O691)</f>
        <v>186.18977015926075</v>
      </c>
    </row>
    <row r="692" spans="1:17" x14ac:dyDescent="0.25">
      <c r="A692" t="s">
        <v>742</v>
      </c>
      <c r="C692" t="s">
        <v>388</v>
      </c>
      <c r="D692" s="28">
        <f>D86+D172+D253+D334+D655+D415+D495+D575</f>
        <v>214.57737669636089</v>
      </c>
      <c r="E692" s="28">
        <f t="shared" ref="E692:O692" si="292">E86+E172+E253+E334+E655+E415+E495+E575</f>
        <v>214.57737669636089</v>
      </c>
      <c r="F692" s="28">
        <f t="shared" si="292"/>
        <v>192.32209424025166</v>
      </c>
      <c r="G692" s="28">
        <f t="shared" si="292"/>
        <v>102.22615562115253</v>
      </c>
      <c r="H692" s="28">
        <f t="shared" si="292"/>
        <v>0</v>
      </c>
      <c r="I692" s="28">
        <f t="shared" si="292"/>
        <v>0</v>
      </c>
      <c r="J692" s="28">
        <f t="shared" si="292"/>
        <v>0</v>
      </c>
      <c r="K692" s="28">
        <f t="shared" si="292"/>
        <v>0</v>
      </c>
      <c r="L692" s="28">
        <f t="shared" si="292"/>
        <v>0</v>
      </c>
      <c r="M692" s="28">
        <f t="shared" si="292"/>
        <v>90.095938619099144</v>
      </c>
      <c r="N692" s="28">
        <f t="shared" si="292"/>
        <v>90.095938619099144</v>
      </c>
      <c r="O692" s="28">
        <f t="shared" si="292"/>
        <v>90.095938619099144</v>
      </c>
      <c r="P692" s="31">
        <f t="shared" si="291"/>
        <v>993.99081911142332</v>
      </c>
    </row>
    <row r="693" spans="1:17" x14ac:dyDescent="0.25">
      <c r="D693" s="28"/>
      <c r="E693" s="28"/>
      <c r="F693" s="28"/>
      <c r="G693" s="28"/>
      <c r="H693" s="28"/>
      <c r="I693" s="28"/>
      <c r="J693" s="28"/>
      <c r="K693" s="28"/>
      <c r="L693" s="28"/>
      <c r="M693" s="28"/>
      <c r="N693" s="28"/>
      <c r="O693" s="28"/>
      <c r="P693" s="30"/>
    </row>
    <row r="694" spans="1:17" x14ac:dyDescent="0.25">
      <c r="A694" s="5" t="s">
        <v>389</v>
      </c>
      <c r="B694" s="5"/>
      <c r="C694" s="5"/>
      <c r="D694" s="46"/>
      <c r="E694" s="46"/>
      <c r="F694" s="46"/>
      <c r="G694" s="46"/>
      <c r="H694" s="46"/>
      <c r="I694" s="46"/>
      <c r="J694" s="46"/>
      <c r="K694" s="46"/>
      <c r="L694" s="46"/>
      <c r="M694" s="46"/>
      <c r="N694" s="46"/>
      <c r="O694" s="46"/>
      <c r="P694" s="30" t="s">
        <v>396</v>
      </c>
    </row>
    <row r="695" spans="1:17" x14ac:dyDescent="0.25">
      <c r="A695" s="5" t="s">
        <v>58</v>
      </c>
      <c r="B695" s="5" t="s">
        <v>391</v>
      </c>
      <c r="C695" s="5" t="s">
        <v>393</v>
      </c>
      <c r="D695" s="46">
        <f>IF('Saisie 2_bovins'!$H$46="oui",D686/'Saisie 2_bovins'!$H$47,D686/D$679)</f>
        <v>5.0575118183579217</v>
      </c>
      <c r="E695" s="46">
        <f>IF('Saisie 2_bovins'!$H$46="oui",E686/'Saisie 2_bovins'!$H$47,E686/E$679)</f>
        <v>5.0575118183579217</v>
      </c>
      <c r="F695" s="46">
        <f>IF('Saisie 2_bovins'!$H$46="oui",F686/'Saisie 2_bovins'!$H$47,F686/F$679)</f>
        <v>2.3815356634008458</v>
      </c>
      <c r="G695" s="46">
        <f>IF('Saisie 2_bovins'!$H$46="oui",G686/'Saisie 2_bovins'!$H$47,G686/G$679)</f>
        <v>1.7349910096157217</v>
      </c>
      <c r="H695" s="46">
        <f>IF('Saisie 2_bovins'!$H$46="oui",H686/'Saisie 2_bovins'!$H$47,H686/H$679)</f>
        <v>1.7169634467096013</v>
      </c>
      <c r="I695" s="46">
        <f>IF('Saisie 2_bovins'!$H$46="oui",I686/'Saisie 2_bovins'!$H$47,I686/I$679)</f>
        <v>2.0080338089835106</v>
      </c>
      <c r="J695" s="46">
        <f>IF('Saisie 2_bovins'!$H$46="oui",J686/'Saisie 2_bovins'!$H$47,J686/J$679)</f>
        <v>2.4145116638615858</v>
      </c>
      <c r="K695" s="46">
        <f>IF('Saisie 2_bovins'!$H$46="oui",K686/'Saisie 2_bovins'!$H$47,K686/K$679)</f>
        <v>2.6166752031290614</v>
      </c>
      <c r="L695" s="46">
        <f>IF('Saisie 2_bovins'!$H$46="oui",L686/'Saisie 2_bovins'!$H$47,L686/L$679)</f>
        <v>3.2542226920872745</v>
      </c>
      <c r="M695" s="46">
        <f>IF('Saisie 2_bovins'!$H$46="oui",M686/'Saisie 2_bovins'!$H$47,M686/M$679)</f>
        <v>3.3562960693147432</v>
      </c>
      <c r="N695" s="46">
        <f>IF('Saisie 2_bovins'!$H$46="oui",N686/'Saisie 2_bovins'!$H$47,N686/N$679)</f>
        <v>5.1405490131829135</v>
      </c>
      <c r="O695" s="46">
        <f>IF('Saisie 2_bovins'!$H$46="oui",O686/'Saisie 2_bovins'!$H$47,O686/O$679)</f>
        <v>5.1405490131829135</v>
      </c>
      <c r="P695" s="31">
        <f>P686/$P$679</f>
        <v>3.7777603330905443</v>
      </c>
    </row>
    <row r="696" spans="1:17" x14ac:dyDescent="0.25">
      <c r="A696" s="5" t="s">
        <v>59</v>
      </c>
      <c r="B696" s="5" t="s">
        <v>391</v>
      </c>
      <c r="C696" s="5" t="s">
        <v>393</v>
      </c>
      <c r="D696" s="46">
        <f>IF('Saisie 2_bovins'!$H$46="oui",D687/'Saisie 2_bovins'!$H$47, D687/D$679)</f>
        <v>0.66593743462982391</v>
      </c>
      <c r="E696" s="46">
        <f>IF('Saisie 2_bovins'!$H$46="oui",E687/'Saisie 2_bovins'!$H$47, E687/E$679)</f>
        <v>0.66593743462982391</v>
      </c>
      <c r="F696" s="46">
        <f>IF('Saisie 2_bovins'!$H$46="oui",F687/'Saisie 2_bovins'!$H$47, F687/F$679)</f>
        <v>0.3688867539228588</v>
      </c>
      <c r="G696" s="46">
        <f>IF('Saisie 2_bovins'!$H$46="oui",G687/'Saisie 2_bovins'!$H$47, G687/G$679)</f>
        <v>0.26581841970695513</v>
      </c>
      <c r="H696" s="46">
        <f>IF('Saisie 2_bovins'!$H$46="oui",H687/'Saisie 2_bovins'!$H$47, H687/H$679)</f>
        <v>0.26270482845291926</v>
      </c>
      <c r="I696" s="46">
        <f>IF('Saisie 2_bovins'!$H$46="oui",I687/'Saisie 2_bovins'!$H$47, I687/I$679)</f>
        <v>0.28889747195285281</v>
      </c>
      <c r="J696" s="46">
        <f>IF('Saisie 2_bovins'!$H$46="oui",J687/'Saisie 2_bovins'!$H$47, J687/J$679)</f>
        <v>0.32548109374266604</v>
      </c>
      <c r="K696" s="46">
        <f>IF('Saisie 2_bovins'!$H$46="oui",K687/'Saisie 2_bovins'!$H$47, K687/K$679)</f>
        <v>0.35364295330078965</v>
      </c>
      <c r="L696" s="46">
        <f>IF('Saisie 2_bovins'!$H$46="oui",L687/'Saisie 2_bovins'!$H$47, L687/L$679)</f>
        <v>0.43644284329699357</v>
      </c>
      <c r="M696" s="46">
        <f>IF('Saisie 2_bovins'!$H$46="oui",M687/'Saisie 2_bovins'!$H$47, M687/M$679)</f>
        <v>0.45650570449402772</v>
      </c>
      <c r="N696" s="46">
        <f>IF('Saisie 2_bovins'!$H$46="oui",N687/'Saisie 2_bovins'!$H$47, N687/N$679)</f>
        <v>0.67295366562450276</v>
      </c>
      <c r="O696" s="46">
        <f>IF('Saisie 2_bovins'!$H$46="oui",O687/'Saisie 2_bovins'!$H$47, O687/O$679)</f>
        <v>0.67295366562450276</v>
      </c>
      <c r="P696" s="31">
        <f t="shared" ref="P696:P697" si="293">P687/$P$679</f>
        <v>0.5089156645680657</v>
      </c>
    </row>
    <row r="697" spans="1:17" x14ac:dyDescent="0.25">
      <c r="A697" s="5" t="s">
        <v>60</v>
      </c>
      <c r="B697" s="5" t="s">
        <v>391</v>
      </c>
      <c r="C697" s="5" t="s">
        <v>393</v>
      </c>
      <c r="D697" s="46">
        <f>IF('Saisie 2_bovins'!$H$46="oui",D688/'Saisie 2_bovins'!$H$47, D688/D$679)</f>
        <v>2.9783246223886839</v>
      </c>
      <c r="E697" s="46">
        <f>IF('Saisie 2_bovins'!$H$46="oui",E688/'Saisie 2_bovins'!$H$47, E688/E$679)</f>
        <v>2.9783246223886839</v>
      </c>
      <c r="F697" s="46">
        <f>IF('Saisie 2_bovins'!$H$46="oui",F688/'Saisie 2_bovins'!$H$47, F688/F$679)</f>
        <v>2.5111811907712616</v>
      </c>
      <c r="G697" s="46">
        <f>IF('Saisie 2_bovins'!$H$46="oui",G688/'Saisie 2_bovins'!$H$47, G688/G$679)</f>
        <v>1.8634970397849335</v>
      </c>
      <c r="H697" s="46">
        <f>IF('Saisie 2_bovins'!$H$46="oui",H688/'Saisie 2_bovins'!$H$47, H688/H$679)</f>
        <v>1.8435250499548674</v>
      </c>
      <c r="I697" s="46">
        <f>IF('Saisie 2_bovins'!$H$46="oui",I688/'Saisie 2_bovins'!$H$47, I688/I$679)</f>
        <v>1.8465993038867847</v>
      </c>
      <c r="J697" s="46">
        <f>IF('Saisie 2_bovins'!$H$46="oui",J688/'Saisie 2_bovins'!$H$47, J688/J$679)</f>
        <v>1.756892574153444</v>
      </c>
      <c r="K697" s="46">
        <f>IF('Saisie 2_bovins'!$H$46="oui",K688/'Saisie 2_bovins'!$H$47, K688/K$679)</f>
        <v>1.8913483325672222</v>
      </c>
      <c r="L697" s="46">
        <f>IF('Saisie 2_bovins'!$H$46="oui",L688/'Saisie 2_bovins'!$H$47, L688/L$679)</f>
        <v>2.3076937699879907</v>
      </c>
      <c r="M697" s="46">
        <f>IF('Saisie 2_bovins'!$H$46="oui",M688/'Saisie 2_bovins'!$H$47, M688/M$679)</f>
        <v>2.3414924728712312</v>
      </c>
      <c r="N697" s="46">
        <f>IF('Saisie 2_bovins'!$H$46="oui",N688/'Saisie 2_bovins'!$H$47, N688/N$679)</f>
        <v>2.9952185538336482</v>
      </c>
      <c r="O697" s="46">
        <f>IF('Saisie 2_bovins'!$H$46="oui",O688/'Saisie 2_bovins'!$H$47, O688/O$679)</f>
        <v>2.9952185538336482</v>
      </c>
      <c r="P697" s="31">
        <f t="shared" si="293"/>
        <v>2.5289890591392528</v>
      </c>
    </row>
    <row r="698" spans="1:17" x14ac:dyDescent="0.25">
      <c r="A698" s="5"/>
      <c r="B698" s="5"/>
      <c r="C698" s="5"/>
      <c r="D698" s="46"/>
      <c r="E698" s="46"/>
      <c r="F698" s="46"/>
      <c r="G698" s="46"/>
      <c r="H698" s="46"/>
      <c r="I698" s="46"/>
      <c r="J698" s="46"/>
      <c r="K698" s="46"/>
      <c r="L698" s="46"/>
      <c r="M698" s="46"/>
      <c r="N698" s="46"/>
      <c r="O698" s="46"/>
      <c r="P698" s="30"/>
    </row>
    <row r="699" spans="1:17" x14ac:dyDescent="0.25">
      <c r="A699" s="5" t="s">
        <v>58</v>
      </c>
      <c r="B699" s="5" t="s">
        <v>392</v>
      </c>
      <c r="C699" s="5" t="s">
        <v>394</v>
      </c>
      <c r="D699" s="46">
        <f>IF('Saisie 2_bovins'!$H$46="oui",D690/'Saisie 2_bovins'!$H$48, IF(D$676=0,0,D690/D$676))</f>
        <v>6.8505903948220084</v>
      </c>
      <c r="E699" s="46">
        <f>IF('Saisie 2_bovins'!$H$46="oui",E690/'Saisie 2_bovins'!$H$48, IF(E$676=0,0,E690/E$676))</f>
        <v>6.8505903948220084</v>
      </c>
      <c r="F699" s="46">
        <f>IF('Saisie 2_bovins'!$H$46="oui",F690/'Saisie 2_bovins'!$H$48, IF(F$676=0,0,F690/F$676))</f>
        <v>6.5938644444444465</v>
      </c>
      <c r="G699" s="46">
        <f>IF('Saisie 2_bovins'!$H$46="oui",G690/'Saisie 2_bovins'!$H$48, IF(G$676=0,0,G690/G$676))</f>
        <v>5.9609314285714294</v>
      </c>
      <c r="H699" s="46">
        <f>IF('Saisie 2_bovins'!$H$46="oui",H690/'Saisie 2_bovins'!$H$48, IF(H$676=0,0,H690/H$676))</f>
        <v>0</v>
      </c>
      <c r="I699" s="46">
        <f>IF('Saisie 2_bovins'!$H$46="oui",I690/'Saisie 2_bovins'!$H$48, IF(I$676=0,0,I690/I$676))</f>
        <v>0</v>
      </c>
      <c r="J699" s="46">
        <f>IF('Saisie 2_bovins'!$H$46="oui",J690/'Saisie 2_bovins'!$H$48, IF(J$676=0,0,J690/J$676))</f>
        <v>0</v>
      </c>
      <c r="K699" s="46">
        <f>IF('Saisie 2_bovins'!$H$46="oui",K690/'Saisie 2_bovins'!$H$48, IF(K$676=0,0,K690/K$676))</f>
        <v>0</v>
      </c>
      <c r="L699" s="46">
        <f>IF('Saisie 2_bovins'!$H$46="oui",L690/'Saisie 2_bovins'!$H$48, IF(L$676=0,0,L690/L$676))</f>
        <v>0</v>
      </c>
      <c r="M699" s="46">
        <f>IF('Saisie 2_bovins'!$H$46="oui",M690/'Saisie 2_bovins'!$H$48, IF(M$676=0,0,M690/M$676))</f>
        <v>7.4799706666666692</v>
      </c>
      <c r="N699" s="46">
        <f>IF('Saisie 2_bovins'!$H$46="oui",N690/'Saisie 2_bovins'!$H$48, IF(N$676=0,0,N690/N$676))</f>
        <v>7.4799706666666692</v>
      </c>
      <c r="O699" s="46">
        <f>IF('Saisie 2_bovins'!$H$46="oui",O690/'Saisie 2_bovins'!$H$48, IF(O$676=0,0,O690/O$676))</f>
        <v>7.4799706666666692</v>
      </c>
      <c r="P699" s="31">
        <f>P690/$P$676</f>
        <v>6.8528059581589975</v>
      </c>
      <c r="Q699" s="12" t="s">
        <v>395</v>
      </c>
    </row>
    <row r="700" spans="1:17" x14ac:dyDescent="0.25">
      <c r="A700" s="5" t="s">
        <v>59</v>
      </c>
      <c r="B700" s="5" t="s">
        <v>392</v>
      </c>
      <c r="C700" s="5" t="s">
        <v>394</v>
      </c>
      <c r="D700" s="46">
        <f>IF('Saisie 2_bovins'!$H$46="oui", D691/'Saisie 2_bovins'!$H$48, IF(D$676=0,0,D691/D$676))</f>
        <v>1.2819577425386552</v>
      </c>
      <c r="E700" s="46">
        <f>IF('Saisie 2_bovins'!$H$46="oui", E691/'Saisie 2_bovins'!$H$48, IF(E$676=0,0,E691/E$676))</f>
        <v>1.2819577425386552</v>
      </c>
      <c r="F700" s="46">
        <f>IF('Saisie 2_bovins'!$H$46="oui", F691/'Saisie 2_bovins'!$H$48, IF(F$676=0,0,F691/F$676))</f>
        <v>1.2392699691358027</v>
      </c>
      <c r="G700" s="46">
        <f>IF('Saisie 2_bovins'!$H$46="oui", G691/'Saisie 2_bovins'!$H$48, IF(G$676=0,0,G691/G$676))</f>
        <v>1.1450769047619049</v>
      </c>
      <c r="H700" s="46">
        <f>IF('Saisie 2_bovins'!$H$46="oui", H691/'Saisie 2_bovins'!$H$48, IF(H$676=0,0,H691/H$676))</f>
        <v>0</v>
      </c>
      <c r="I700" s="46">
        <f>IF('Saisie 2_bovins'!$H$46="oui", I691/'Saisie 2_bovins'!$H$48, IF(I$676=0,0,I691/I$676))</f>
        <v>0</v>
      </c>
      <c r="J700" s="46">
        <f>IF('Saisie 2_bovins'!$H$46="oui", J691/'Saisie 2_bovins'!$H$48, IF(J$676=0,0,J691/J$676))</f>
        <v>0</v>
      </c>
      <c r="K700" s="46">
        <f>IF('Saisie 2_bovins'!$H$46="oui", K691/'Saisie 2_bovins'!$H$48, IF(K$676=0,0,K691/K$676))</f>
        <v>0</v>
      </c>
      <c r="L700" s="46">
        <f>IF('Saisie 2_bovins'!$H$46="oui", L691/'Saisie 2_bovins'!$H$48, IF(L$676=0,0,L691/L$676))</f>
        <v>0</v>
      </c>
      <c r="M700" s="46">
        <f>IF('Saisie 2_bovins'!$H$46="oui", M691/'Saisie 2_bovins'!$H$48, IF(M$676=0,0,M691/M$676))</f>
        <v>1.3711402592592594</v>
      </c>
      <c r="N700" s="46">
        <f>IF('Saisie 2_bovins'!$H$46="oui", N691/'Saisie 2_bovins'!$H$48, IF(N$676=0,0,N691/N$676))</f>
        <v>1.3711402592592594</v>
      </c>
      <c r="O700" s="46">
        <f>IF('Saisie 2_bovins'!$H$46="oui", O691/'Saisie 2_bovins'!$H$48, IF(O$676=0,0,O691/O$676))</f>
        <v>1.3711402592592594</v>
      </c>
      <c r="P700" s="31">
        <f t="shared" ref="P700:P701" si="294">P691/$P$676</f>
        <v>1.2797371334263132</v>
      </c>
    </row>
    <row r="701" spans="1:17" x14ac:dyDescent="0.25">
      <c r="A701" s="5" t="s">
        <v>390</v>
      </c>
      <c r="B701" s="5" t="s">
        <v>392</v>
      </c>
      <c r="C701" s="5" t="s">
        <v>394</v>
      </c>
      <c r="D701" s="46">
        <f>IF('Saisie 2_bovins'!$H$46="oui", D692/'Saisie 2_bovins'!$H$48, IF(D$676=0,0,D692/D$676))</f>
        <v>6.8444658262728524</v>
      </c>
      <c r="E701" s="46">
        <f>IF('Saisie 2_bovins'!$H$46="oui", E692/'Saisie 2_bovins'!$H$48, IF(E$676=0,0,E692/E$676))</f>
        <v>6.8444658262728524</v>
      </c>
      <c r="F701" s="46">
        <f>IF('Saisie 2_bovins'!$H$46="oui", F692/'Saisie 2_bovins'!$H$48, IF(F$676=0,0,F692/F$676))</f>
        <v>6.5818927156419766</v>
      </c>
      <c r="G701" s="46">
        <f>IF('Saisie 2_bovins'!$H$46="oui", G692/'Saisie 2_bovins'!$H$48, IF(G$676=0,0,G692/G$676))</f>
        <v>5.9974530155238108</v>
      </c>
      <c r="H701" s="46">
        <f>IF('Saisie 2_bovins'!$H$46="oui", H692/'Saisie 2_bovins'!$H$48, IF(H$676=0,0,H692/H$676))</f>
        <v>0</v>
      </c>
      <c r="I701" s="46">
        <f>IF('Saisie 2_bovins'!$H$46="oui", I692/'Saisie 2_bovins'!$H$48, IF(I$676=0,0,I692/I$676))</f>
        <v>0</v>
      </c>
      <c r="J701" s="46">
        <f>IF('Saisie 2_bovins'!$H$46="oui", J692/'Saisie 2_bovins'!$H$48, IF(J$676=0,0,J692/J$676))</f>
        <v>0</v>
      </c>
      <c r="K701" s="46">
        <f>IF('Saisie 2_bovins'!$H$46="oui", K692/'Saisie 2_bovins'!$H$48, IF(K$676=0,0,K692/K$676))</f>
        <v>0</v>
      </c>
      <c r="L701" s="46">
        <f>IF('Saisie 2_bovins'!$H$46="oui", L692/'Saisie 2_bovins'!$H$48, IF(L$676=0,0,L692/L$676))</f>
        <v>0</v>
      </c>
      <c r="M701" s="46">
        <f>IF('Saisie 2_bovins'!$H$46="oui", M692/'Saisie 2_bovins'!$H$48, IF(M$676=0,0,M692/M$676))</f>
        <v>7.4001082958074091</v>
      </c>
      <c r="N701" s="46">
        <f>IF('Saisie 2_bovins'!$H$46="oui", N692/'Saisie 2_bovins'!$H$48, IF(N$676=0,0,N692/N$676))</f>
        <v>7.4001082958074091</v>
      </c>
      <c r="O701" s="46">
        <f>IF('Saisie 2_bovins'!$H$46="oui", O692/'Saisie 2_bovins'!$H$48, IF(O$676=0,0,O692/O$676))</f>
        <v>7.4001082958074091</v>
      </c>
      <c r="P701" s="31">
        <f t="shared" si="294"/>
        <v>6.8319916846863169</v>
      </c>
    </row>
    <row r="702" spans="1:17" x14ac:dyDescent="0.25">
      <c r="P702" s="30"/>
    </row>
    <row r="703" spans="1:17" x14ac:dyDescent="0.25">
      <c r="P703" s="30"/>
    </row>
    <row r="704" spans="1:17" x14ac:dyDescent="0.25">
      <c r="A704" s="88" t="s">
        <v>421</v>
      </c>
      <c r="B704" s="88"/>
      <c r="C704" s="88"/>
      <c r="D704" s="88"/>
      <c r="E704" s="88"/>
      <c r="F704" s="88"/>
      <c r="G704" s="88"/>
      <c r="H704" s="88"/>
      <c r="I704" s="88"/>
      <c r="J704" s="88"/>
      <c r="K704" s="88"/>
      <c r="L704" s="88"/>
      <c r="M704" s="88"/>
      <c r="N704" s="88"/>
      <c r="O704" s="88"/>
      <c r="P704" s="30"/>
    </row>
    <row r="705" spans="1:17" x14ac:dyDescent="0.25">
      <c r="A705" t="s">
        <v>424</v>
      </c>
      <c r="B705" t="s">
        <v>433</v>
      </c>
      <c r="C705" t="s">
        <v>246</v>
      </c>
      <c r="D705" s="60">
        <f>D72+D158+D239+D320+D401+D481+D561+D641</f>
        <v>631.2306757479713</v>
      </c>
      <c r="E705" s="60">
        <f t="shared" ref="E705:O705" si="295">E72+E158+E239+E320+E401+E481+E561+E641</f>
        <v>631.2306757479713</v>
      </c>
      <c r="F705" s="60">
        <f t="shared" si="295"/>
        <v>187.86093224898576</v>
      </c>
      <c r="G705" s="60">
        <f t="shared" si="295"/>
        <v>97.745806749492871</v>
      </c>
      <c r="H705" s="60">
        <f t="shared" si="295"/>
        <v>97.745806749492871</v>
      </c>
      <c r="I705" s="60">
        <f t="shared" si="295"/>
        <v>114.3162861244929</v>
      </c>
      <c r="J705" s="60">
        <f t="shared" si="295"/>
        <v>137.45685206199286</v>
      </c>
      <c r="K705" s="60">
        <f t="shared" si="295"/>
        <v>158.89619615565837</v>
      </c>
      <c r="L705" s="60">
        <f t="shared" si="295"/>
        <v>234.66025031165483</v>
      </c>
      <c r="M705" s="60">
        <f t="shared" si="295"/>
        <v>241.10082531165475</v>
      </c>
      <c r="N705" s="60">
        <f t="shared" si="295"/>
        <v>642.87971574797166</v>
      </c>
      <c r="O705" s="60">
        <f t="shared" si="295"/>
        <v>642.87971574797166</v>
      </c>
      <c r="P705" s="30"/>
    </row>
    <row r="706" spans="1:17" x14ac:dyDescent="0.25">
      <c r="A706" t="s">
        <v>429</v>
      </c>
      <c r="B706" t="s">
        <v>423</v>
      </c>
      <c r="C706" t="s">
        <v>422</v>
      </c>
      <c r="D706" s="60">
        <f>D705*param_bovins!$C$173</f>
        <v>75.747681089756554</v>
      </c>
      <c r="E706" s="60">
        <f>E705*param_bovins!$C$173</f>
        <v>75.747681089756554</v>
      </c>
      <c r="F706" s="60">
        <f>F705*param_bovins!$C$173</f>
        <v>22.543311869878291</v>
      </c>
      <c r="G706" s="60">
        <f>G705*param_bovins!$C$173</f>
        <v>11.729496809939144</v>
      </c>
      <c r="H706" s="60">
        <f>H705*param_bovins!$C$173</f>
        <v>11.729496809939144</v>
      </c>
      <c r="I706" s="60">
        <f>I705*param_bovins!$C$173</f>
        <v>13.717954334939147</v>
      </c>
      <c r="J706" s="60">
        <f>J705*param_bovins!$C$173</f>
        <v>16.494822247439142</v>
      </c>
      <c r="K706" s="60">
        <f>K705*param_bovins!$C$173</f>
        <v>19.067543538679004</v>
      </c>
      <c r="L706" s="60">
        <f>L705*param_bovins!$C$173</f>
        <v>28.159230037398579</v>
      </c>
      <c r="M706" s="60">
        <f>M705*param_bovins!$C$173</f>
        <v>28.932099037398569</v>
      </c>
      <c r="N706" s="60">
        <f>N705*param_bovins!$C$173</f>
        <v>77.145565889756597</v>
      </c>
      <c r="O706" s="60">
        <f>O705*param_bovins!$C$173</f>
        <v>77.145565889756597</v>
      </c>
      <c r="P706" s="30"/>
    </row>
    <row r="707" spans="1:17" x14ac:dyDescent="0.25">
      <c r="A707" t="s">
        <v>425</v>
      </c>
      <c r="B707" t="s">
        <v>433</v>
      </c>
      <c r="C707" t="s">
        <v>246</v>
      </c>
      <c r="D707" s="60">
        <f>D76+D162+D243+D324+D405+D485+D565+D645</f>
        <v>216.93877266529773</v>
      </c>
      <c r="E707" s="60">
        <f t="shared" ref="E707:O707" si="296">E76+E162+E243+E324+E405+E485+E565+E645</f>
        <v>216.93877266529773</v>
      </c>
      <c r="F707" s="60">
        <f t="shared" si="296"/>
        <v>194.6180875564682</v>
      </c>
      <c r="G707" s="60">
        <f t="shared" si="296"/>
        <v>102.62994726899385</v>
      </c>
      <c r="H707" s="60">
        <f t="shared" si="296"/>
        <v>0</v>
      </c>
      <c r="I707" s="60">
        <f t="shared" si="296"/>
        <v>0</v>
      </c>
      <c r="J707" s="60">
        <f t="shared" si="296"/>
        <v>0</v>
      </c>
      <c r="K707" s="60">
        <f t="shared" si="296"/>
        <v>0</v>
      </c>
      <c r="L707" s="60">
        <f t="shared" si="296"/>
        <v>0</v>
      </c>
      <c r="M707" s="60">
        <f t="shared" si="296"/>
        <v>91.988140287474337</v>
      </c>
      <c r="N707" s="60">
        <f t="shared" si="296"/>
        <v>91.988140287474337</v>
      </c>
      <c r="O707" s="60">
        <f t="shared" si="296"/>
        <v>91.988140287474337</v>
      </c>
      <c r="P707" s="30"/>
    </row>
    <row r="708" spans="1:17" x14ac:dyDescent="0.25">
      <c r="A708" t="s">
        <v>430</v>
      </c>
      <c r="B708" t="s">
        <v>426</v>
      </c>
      <c r="C708" t="s">
        <v>422</v>
      </c>
      <c r="D708" s="60">
        <f>D707*param_bovins!$C$173</f>
        <v>26.032652719835728</v>
      </c>
      <c r="E708" s="60">
        <f>E707*param_bovins!$C$173</f>
        <v>26.032652719835728</v>
      </c>
      <c r="F708" s="60">
        <f>F707*param_bovins!$C$173</f>
        <v>23.354170506776182</v>
      </c>
      <c r="G708" s="60">
        <f>G707*param_bovins!$C$173</f>
        <v>12.315593672279261</v>
      </c>
      <c r="H708" s="60">
        <f>H707*param_bovins!$C$173</f>
        <v>0</v>
      </c>
      <c r="I708" s="60">
        <f>I707*param_bovins!$C$173</f>
        <v>0</v>
      </c>
      <c r="J708" s="60">
        <f>J707*param_bovins!$C$173</f>
        <v>0</v>
      </c>
      <c r="K708" s="60">
        <f>K707*param_bovins!$C$173</f>
        <v>0</v>
      </c>
      <c r="L708" s="60">
        <f>L707*param_bovins!$C$173</f>
        <v>0</v>
      </c>
      <c r="M708" s="60">
        <f>M707*param_bovins!$C$173</f>
        <v>11.03857683449692</v>
      </c>
      <c r="N708" s="60">
        <f>N707*param_bovins!$C$173</f>
        <v>11.03857683449692</v>
      </c>
      <c r="O708" s="60">
        <f>O707*param_bovins!$C$173</f>
        <v>11.03857683449692</v>
      </c>
      <c r="P708" s="30"/>
    </row>
    <row r="709" spans="1:17" x14ac:dyDescent="0.25">
      <c r="D709" s="60"/>
      <c r="E709" s="60"/>
      <c r="F709" s="60"/>
      <c r="G709" s="60"/>
      <c r="H709" s="60"/>
      <c r="I709" s="60"/>
      <c r="J709" s="60"/>
      <c r="K709" s="60"/>
      <c r="L709" s="60"/>
      <c r="M709" s="60"/>
      <c r="N709" s="60"/>
      <c r="O709" s="60"/>
      <c r="P709" s="30"/>
    </row>
    <row r="710" spans="1:17" x14ac:dyDescent="0.25">
      <c r="A710" t="s">
        <v>427</v>
      </c>
      <c r="B710" t="s">
        <v>434</v>
      </c>
      <c r="C710" t="s">
        <v>246</v>
      </c>
      <c r="D710" s="60">
        <f>D686-D706</f>
        <v>557.65238238486768</v>
      </c>
      <c r="E710" s="60">
        <f t="shared" ref="E710:O710" si="297">E686-E706</f>
        <v>557.65238238486768</v>
      </c>
      <c r="F710" s="60">
        <f t="shared" si="297"/>
        <v>167.26380125467216</v>
      </c>
      <c r="G710" s="60">
        <f t="shared" si="297"/>
        <v>87.042609412243664</v>
      </c>
      <c r="H710" s="60">
        <f t="shared" si="297"/>
        <v>86.016309939553722</v>
      </c>
      <c r="I710" s="60">
        <f t="shared" si="297"/>
        <v>100.59833178955375</v>
      </c>
      <c r="J710" s="60">
        <f t="shared" si="297"/>
        <v>120.96202981455372</v>
      </c>
      <c r="K710" s="60">
        <f t="shared" si="297"/>
        <v>139.82865261697935</v>
      </c>
      <c r="L710" s="60">
        <f t="shared" si="297"/>
        <v>206.50102027425626</v>
      </c>
      <c r="M710" s="60">
        <f t="shared" si="297"/>
        <v>213.08860767713094</v>
      </c>
      <c r="N710" s="60">
        <f t="shared" si="297"/>
        <v>566.65403126108981</v>
      </c>
      <c r="O710" s="60">
        <f t="shared" si="297"/>
        <v>566.65403126108981</v>
      </c>
      <c r="P710" s="30"/>
    </row>
    <row r="711" spans="1:17" x14ac:dyDescent="0.25">
      <c r="A711" t="s">
        <v>428</v>
      </c>
      <c r="B711" t="s">
        <v>435</v>
      </c>
      <c r="C711" t="s">
        <v>246</v>
      </c>
      <c r="D711" s="60">
        <f>D690-D708</f>
        <v>188.73673221880904</v>
      </c>
      <c r="E711" s="60">
        <f t="shared" ref="E711:O711" si="298">E690-E708</f>
        <v>188.73673221880904</v>
      </c>
      <c r="F711" s="60">
        <f t="shared" si="298"/>
        <v>169.31773617412733</v>
      </c>
      <c r="G711" s="60">
        <f t="shared" si="298"/>
        <v>89.28805412402464</v>
      </c>
      <c r="H711" s="60">
        <f t="shared" si="298"/>
        <v>0</v>
      </c>
      <c r="I711" s="60">
        <f t="shared" si="298"/>
        <v>0</v>
      </c>
      <c r="J711" s="60">
        <f t="shared" si="298"/>
        <v>0</v>
      </c>
      <c r="K711" s="60">
        <f t="shared" si="298"/>
        <v>0</v>
      </c>
      <c r="L711" s="60">
        <f t="shared" si="298"/>
        <v>0</v>
      </c>
      <c r="M711" s="60">
        <f t="shared" si="298"/>
        <v>80.029682050102679</v>
      </c>
      <c r="N711" s="60">
        <f t="shared" si="298"/>
        <v>80.029682050102679</v>
      </c>
      <c r="O711" s="60">
        <f t="shared" si="298"/>
        <v>80.029682050102679</v>
      </c>
      <c r="P711" s="30"/>
    </row>
    <row r="712" spans="1:17" x14ac:dyDescent="0.25">
      <c r="D712" s="60"/>
      <c r="E712" s="60"/>
      <c r="F712" s="60"/>
      <c r="G712" s="60"/>
      <c r="H712" s="60"/>
      <c r="I712" s="60"/>
      <c r="J712" s="60"/>
      <c r="K712" s="60"/>
      <c r="L712" s="60"/>
      <c r="M712" s="60"/>
      <c r="N712" s="60"/>
      <c r="O712" s="60"/>
      <c r="P712" s="30"/>
    </row>
    <row r="713" spans="1:17" x14ac:dyDescent="0.25">
      <c r="P713" s="30"/>
    </row>
    <row r="714" spans="1:17" x14ac:dyDescent="0.25">
      <c r="A714" t="s">
        <v>431</v>
      </c>
      <c r="C714" t="s">
        <v>422</v>
      </c>
      <c r="D714" s="60">
        <f>D710*param_bovins!$C$177</f>
        <v>33.459142943092061</v>
      </c>
      <c r="E714" s="60">
        <f>E710*param_bovins!$C$177</f>
        <v>33.459142943092061</v>
      </c>
      <c r="F714" s="60">
        <f>F710*param_bovins!$C$177</f>
        <v>10.03582807528033</v>
      </c>
      <c r="G714" s="60">
        <f>G710*param_bovins!$C$177</f>
        <v>5.2225565647346199</v>
      </c>
      <c r="H714" s="60">
        <f>H710*param_bovins!$C$177</f>
        <v>5.1609785963732229</v>
      </c>
      <c r="I714" s="60">
        <f>I710*param_bovins!$C$177</f>
        <v>6.0358999073732251</v>
      </c>
      <c r="J714" s="60">
        <f>J710*param_bovins!$C$177</f>
        <v>7.2577217888732228</v>
      </c>
      <c r="K714" s="60">
        <f>K710*param_bovins!$C$177</f>
        <v>8.3897191570187601</v>
      </c>
      <c r="L714" s="60">
        <f>L710*param_bovins!$C$177</f>
        <v>12.390061216455376</v>
      </c>
      <c r="M714" s="60">
        <f>M710*param_bovins!$C$177</f>
        <v>12.785316460627856</v>
      </c>
      <c r="N714" s="60">
        <f>N710*param_bovins!$C$177</f>
        <v>33.99924187566539</v>
      </c>
      <c r="O714" s="60">
        <f>O710*param_bovins!$C$177</f>
        <v>33.99924187566539</v>
      </c>
      <c r="P714" s="30"/>
    </row>
    <row r="715" spans="1:17" x14ac:dyDescent="0.25">
      <c r="A715" t="s">
        <v>439</v>
      </c>
      <c r="C715" t="s">
        <v>422</v>
      </c>
      <c r="D715" s="60">
        <f>IF('Saisie 2_bovins'!$C$43=param_bovins!$A$163,Calculs_bovins!D714*param_bovins!$B$163,Calculs_bovins!D714)</f>
        <v>33.459142943092061</v>
      </c>
      <c r="E715" s="60">
        <f>IF('Saisie 2_bovins'!$C$43=param_bovins!$A$163,Calculs_bovins!E714*param_bovins!$B$163,Calculs_bovins!E714)</f>
        <v>33.459142943092061</v>
      </c>
      <c r="F715" s="60">
        <f>IF('Saisie 2_bovins'!$C$43=param_bovins!$A$163,Calculs_bovins!F714*param_bovins!$B$163,Calculs_bovins!F714)</f>
        <v>10.03582807528033</v>
      </c>
      <c r="G715" s="60">
        <f>IF('Saisie 2_bovins'!$C$43=param_bovins!$A$163,Calculs_bovins!G714*param_bovins!$B$163,Calculs_bovins!G714)</f>
        <v>5.2225565647346199</v>
      </c>
      <c r="H715" s="60">
        <f>IF('Saisie 2_bovins'!$C$43=param_bovins!$A$163,Calculs_bovins!H714*param_bovins!$B$163,Calculs_bovins!H714)</f>
        <v>5.1609785963732229</v>
      </c>
      <c r="I715" s="60">
        <f>IF('Saisie 2_bovins'!$C$43=param_bovins!$A$163,Calculs_bovins!I714*param_bovins!$B$163,Calculs_bovins!I714)</f>
        <v>6.0358999073732251</v>
      </c>
      <c r="J715" s="60">
        <f>IF('Saisie 2_bovins'!$C$43=param_bovins!$A$163,Calculs_bovins!J714*param_bovins!$B$163,Calculs_bovins!J714)</f>
        <v>7.2577217888732228</v>
      </c>
      <c r="K715" s="60">
        <f>IF('Saisie 2_bovins'!$C$43=param_bovins!$A$163,Calculs_bovins!K714*param_bovins!$B$163,Calculs_bovins!K714)</f>
        <v>8.3897191570187601</v>
      </c>
      <c r="L715" s="60">
        <f>IF('Saisie 2_bovins'!$C$43=param_bovins!$A$163,Calculs_bovins!L714*param_bovins!$B$163,Calculs_bovins!L714)</f>
        <v>12.390061216455376</v>
      </c>
      <c r="M715" s="60">
        <f>IF('Saisie 2_bovins'!$C$43=param_bovins!$A$163,Calculs_bovins!M714*param_bovins!$B$163,Calculs_bovins!M714)</f>
        <v>12.785316460627856</v>
      </c>
      <c r="N715" s="60">
        <f>IF('Saisie 2_bovins'!$C$43=param_bovins!$A$163,Calculs_bovins!N714*param_bovins!$B$163,Calculs_bovins!N714)</f>
        <v>33.99924187566539</v>
      </c>
      <c r="O715" s="60">
        <f>IF('Saisie 2_bovins'!$C$43=param_bovins!$A$163,Calculs_bovins!O714*param_bovins!$B$163,Calculs_bovins!O714)</f>
        <v>33.99924187566539</v>
      </c>
      <c r="P715" s="30" t="s">
        <v>273</v>
      </c>
    </row>
    <row r="716" spans="1:17" x14ac:dyDescent="0.25">
      <c r="A716" t="s">
        <v>432</v>
      </c>
      <c r="C716" t="s">
        <v>422</v>
      </c>
      <c r="D716" s="60">
        <f>D711*param_bovins!$C$177</f>
        <v>11.324203933128542</v>
      </c>
      <c r="E716" s="60">
        <f>E711*param_bovins!$C$177</f>
        <v>11.324203933128542</v>
      </c>
      <c r="F716" s="60">
        <f>F711*param_bovins!$C$177</f>
        <v>10.159064170447639</v>
      </c>
      <c r="G716" s="60">
        <f>G711*param_bovins!$C$177</f>
        <v>5.3572832474414778</v>
      </c>
      <c r="H716" s="60">
        <f>H711*param_bovins!$C$177</f>
        <v>0</v>
      </c>
      <c r="I716" s="60">
        <f>I711*param_bovins!$C$177</f>
        <v>0</v>
      </c>
      <c r="J716" s="60">
        <f>J711*param_bovins!$C$177</f>
        <v>0</v>
      </c>
      <c r="K716" s="60">
        <f>K711*param_bovins!$C$177</f>
        <v>0</v>
      </c>
      <c r="L716" s="60">
        <f>L711*param_bovins!$C$177</f>
        <v>0</v>
      </c>
      <c r="M716" s="60">
        <f>M711*param_bovins!$C$177</f>
        <v>4.8017809230061603</v>
      </c>
      <c r="N716" s="60">
        <f>N711*param_bovins!$C$177</f>
        <v>4.8017809230061603</v>
      </c>
      <c r="O716" s="60">
        <f>O711*param_bovins!$C$177</f>
        <v>4.8017809230061603</v>
      </c>
      <c r="P716" s="30"/>
    </row>
    <row r="717" spans="1:17" x14ac:dyDescent="0.25">
      <c r="D717" s="60"/>
      <c r="E717" s="60"/>
      <c r="F717" s="60"/>
      <c r="G717" s="60"/>
      <c r="H717" s="60"/>
      <c r="I717" s="60"/>
      <c r="J717" s="60"/>
      <c r="K717" s="60"/>
      <c r="L717" s="60"/>
      <c r="M717" s="60"/>
      <c r="N717" s="60"/>
      <c r="O717" s="60"/>
      <c r="P717" s="30"/>
    </row>
    <row r="718" spans="1:17" x14ac:dyDescent="0.25">
      <c r="A718" s="269" t="s">
        <v>767</v>
      </c>
      <c r="B718" s="267"/>
      <c r="C718" s="267"/>
      <c r="D718" s="268"/>
      <c r="E718" s="268"/>
      <c r="F718" s="268"/>
      <c r="G718" s="268"/>
      <c r="H718" s="268"/>
      <c r="I718" s="268"/>
      <c r="J718" s="268"/>
      <c r="K718" s="268"/>
      <c r="L718" s="268"/>
      <c r="M718" s="268"/>
      <c r="N718" s="268"/>
      <c r="O718" s="268"/>
      <c r="P718" s="30"/>
      <c r="Q718" t="s">
        <v>768</v>
      </c>
    </row>
    <row r="719" spans="1:17" x14ac:dyDescent="0.25">
      <c r="A719" s="33" t="s">
        <v>385</v>
      </c>
      <c r="C719" t="s">
        <v>388</v>
      </c>
      <c r="D719" s="229">
        <f>D710-D715</f>
        <v>524.19323944177563</v>
      </c>
      <c r="E719" s="229">
        <f t="shared" ref="E719:O719" si="299">E710-E715</f>
        <v>524.19323944177563</v>
      </c>
      <c r="F719" s="229">
        <f t="shared" si="299"/>
        <v>157.22797317939182</v>
      </c>
      <c r="G719" s="229">
        <f t="shared" si="299"/>
        <v>81.820052847509047</v>
      </c>
      <c r="H719" s="229">
        <f t="shared" si="299"/>
        <v>80.855331343180495</v>
      </c>
      <c r="I719" s="229">
        <f t="shared" si="299"/>
        <v>94.562431882180533</v>
      </c>
      <c r="J719" s="229">
        <f t="shared" si="299"/>
        <v>113.70430802568049</v>
      </c>
      <c r="K719" s="229">
        <f t="shared" si="299"/>
        <v>131.43893345996059</v>
      </c>
      <c r="L719" s="229">
        <f t="shared" si="299"/>
        <v>194.1109590578009</v>
      </c>
      <c r="M719" s="229">
        <f t="shared" si="299"/>
        <v>200.30329121650308</v>
      </c>
      <c r="N719" s="229">
        <f t="shared" si="299"/>
        <v>532.65478938542446</v>
      </c>
      <c r="O719" s="229">
        <f t="shared" si="299"/>
        <v>532.65478938542446</v>
      </c>
      <c r="P719" s="244"/>
      <c r="Q719" s="271">
        <f>SUM(D719:O719)</f>
        <v>3167.7193386666072</v>
      </c>
    </row>
    <row r="720" spans="1:17" x14ac:dyDescent="0.25">
      <c r="A720" t="s">
        <v>386</v>
      </c>
      <c r="C720" t="s">
        <v>388</v>
      </c>
      <c r="D720" s="229">
        <f>D687</f>
        <v>83.401646602896307</v>
      </c>
      <c r="E720" s="229">
        <f t="shared" ref="E720:O720" si="300">E687</f>
        <v>83.401646602896307</v>
      </c>
      <c r="F720" s="229">
        <f t="shared" si="300"/>
        <v>29.400076139107295</v>
      </c>
      <c r="G720" s="229">
        <f t="shared" si="300"/>
        <v>15.132899848814425</v>
      </c>
      <c r="H720" s="229">
        <f t="shared" si="300"/>
        <v>14.955644771196356</v>
      </c>
      <c r="I720" s="229">
        <f t="shared" si="300"/>
        <v>16.446777896196359</v>
      </c>
      <c r="J720" s="229">
        <f t="shared" si="300"/>
        <v>18.529463833696362</v>
      </c>
      <c r="K720" s="229">
        <f t="shared" si="300"/>
        <v>21.474778378895746</v>
      </c>
      <c r="L720" s="229">
        <f t="shared" si="300"/>
        <v>31.471658993660593</v>
      </c>
      <c r="M720" s="229">
        <f t="shared" si="300"/>
        <v>32.918381137757102</v>
      </c>
      <c r="N720" s="229">
        <f t="shared" si="300"/>
        <v>84.280355603881929</v>
      </c>
      <c r="O720" s="229">
        <f t="shared" si="300"/>
        <v>84.280355603881929</v>
      </c>
      <c r="P720" s="30"/>
      <c r="Q720" s="271">
        <f t="shared" ref="Q720:Q725" si="301">SUM(D720:O720)</f>
        <v>515.69368541288065</v>
      </c>
    </row>
    <row r="721" spans="1:17" x14ac:dyDescent="0.25">
      <c r="A721" t="s">
        <v>387</v>
      </c>
      <c r="C721" t="s">
        <v>388</v>
      </c>
      <c r="D721" s="229">
        <f>D688</f>
        <v>373.00377589261473</v>
      </c>
      <c r="E721" s="229">
        <f t="shared" ref="E721:O721" si="302">E688</f>
        <v>373.00377589261473</v>
      </c>
      <c r="F721" s="229">
        <f t="shared" si="302"/>
        <v>200.13979201651745</v>
      </c>
      <c r="G721" s="229">
        <f t="shared" si="302"/>
        <v>106.08788549234497</v>
      </c>
      <c r="H721" s="229">
        <f t="shared" si="302"/>
        <v>104.95089083932912</v>
      </c>
      <c r="I721" s="229">
        <f t="shared" si="302"/>
        <v>105.12590646432913</v>
      </c>
      <c r="J721" s="229">
        <f t="shared" si="302"/>
        <v>100.01895052682912</v>
      </c>
      <c r="K721" s="229">
        <f t="shared" si="302"/>
        <v>114.851111552134</v>
      </c>
      <c r="L721" s="229">
        <f t="shared" si="302"/>
        <v>166.40655816971523</v>
      </c>
      <c r="M721" s="229">
        <f t="shared" si="302"/>
        <v>168.84376447955856</v>
      </c>
      <c r="N721" s="229">
        <f t="shared" si="302"/>
        <v>375.11956279215985</v>
      </c>
      <c r="O721" s="229">
        <f t="shared" si="302"/>
        <v>375.11956279215985</v>
      </c>
      <c r="P721" s="30"/>
      <c r="Q721" s="271">
        <f t="shared" si="301"/>
        <v>2562.6715369103063</v>
      </c>
    </row>
    <row r="722" spans="1:17" x14ac:dyDescent="0.25">
      <c r="D722" s="229"/>
      <c r="E722" s="229"/>
      <c r="F722" s="229"/>
      <c r="G722" s="229"/>
      <c r="H722" s="229"/>
      <c r="I722" s="229"/>
      <c r="J722" s="229"/>
      <c r="K722" s="229"/>
      <c r="L722" s="229"/>
      <c r="M722" s="229"/>
      <c r="N722" s="229"/>
      <c r="O722" s="229"/>
      <c r="P722" s="30"/>
      <c r="Q722" s="271"/>
    </row>
    <row r="723" spans="1:17" x14ac:dyDescent="0.25">
      <c r="A723" t="s">
        <v>740</v>
      </c>
      <c r="C723" t="s">
        <v>388</v>
      </c>
      <c r="D723" s="229">
        <f>D711-D716</f>
        <v>177.41252828568051</v>
      </c>
      <c r="E723" s="229">
        <f t="shared" ref="E723:O723" si="303">E711-E716</f>
        <v>177.41252828568051</v>
      </c>
      <c r="F723" s="229">
        <f t="shared" si="303"/>
        <v>159.1586720036797</v>
      </c>
      <c r="G723" s="229">
        <f t="shared" si="303"/>
        <v>83.930770876583168</v>
      </c>
      <c r="H723" s="229">
        <f t="shared" si="303"/>
        <v>0</v>
      </c>
      <c r="I723" s="229">
        <f t="shared" si="303"/>
        <v>0</v>
      </c>
      <c r="J723" s="229">
        <f t="shared" si="303"/>
        <v>0</v>
      </c>
      <c r="K723" s="229">
        <f t="shared" si="303"/>
        <v>0</v>
      </c>
      <c r="L723" s="229">
        <f t="shared" si="303"/>
        <v>0</v>
      </c>
      <c r="M723" s="229">
        <f t="shared" si="303"/>
        <v>75.227901127096516</v>
      </c>
      <c r="N723" s="229">
        <f t="shared" si="303"/>
        <v>75.227901127096516</v>
      </c>
      <c r="O723" s="229">
        <f t="shared" si="303"/>
        <v>75.227901127096516</v>
      </c>
      <c r="P723" s="30"/>
      <c r="Q723" s="271">
        <f t="shared" si="301"/>
        <v>823.59820283291344</v>
      </c>
    </row>
    <row r="724" spans="1:17" x14ac:dyDescent="0.25">
      <c r="A724" t="s">
        <v>741</v>
      </c>
      <c r="C724" t="s">
        <v>388</v>
      </c>
      <c r="D724" s="229">
        <f>D691</f>
        <v>40.19000699420944</v>
      </c>
      <c r="E724" s="229">
        <f t="shared" ref="E724:O724" si="304">E691</f>
        <v>40.19000699420944</v>
      </c>
      <c r="F724" s="229">
        <f t="shared" si="304"/>
        <v>36.211315816016423</v>
      </c>
      <c r="G724" s="229">
        <f t="shared" si="304"/>
        <v>19.51775354661191</v>
      </c>
      <c r="H724" s="229">
        <f t="shared" si="304"/>
        <v>0</v>
      </c>
      <c r="I724" s="229">
        <f t="shared" si="304"/>
        <v>0</v>
      </c>
      <c r="J724" s="229">
        <f t="shared" si="304"/>
        <v>0</v>
      </c>
      <c r="K724" s="229">
        <f t="shared" si="304"/>
        <v>0</v>
      </c>
      <c r="L724" s="229">
        <f t="shared" si="304"/>
        <v>0</v>
      </c>
      <c r="M724" s="229">
        <f t="shared" si="304"/>
        <v>16.693562269404516</v>
      </c>
      <c r="N724" s="229">
        <f t="shared" si="304"/>
        <v>16.693562269404516</v>
      </c>
      <c r="O724" s="229">
        <f t="shared" si="304"/>
        <v>16.693562269404516</v>
      </c>
      <c r="P724" s="30"/>
      <c r="Q724" s="271">
        <f t="shared" si="301"/>
        <v>186.18977015926075</v>
      </c>
    </row>
    <row r="725" spans="1:17" x14ac:dyDescent="0.25">
      <c r="A725" t="s">
        <v>742</v>
      </c>
      <c r="C725" t="s">
        <v>388</v>
      </c>
      <c r="D725" s="229">
        <f>D692</f>
        <v>214.57737669636089</v>
      </c>
      <c r="E725" s="229">
        <f t="shared" ref="E725:O725" si="305">E692</f>
        <v>214.57737669636089</v>
      </c>
      <c r="F725" s="229">
        <f t="shared" si="305"/>
        <v>192.32209424025166</v>
      </c>
      <c r="G725" s="229">
        <f t="shared" si="305"/>
        <v>102.22615562115253</v>
      </c>
      <c r="H725" s="229">
        <f t="shared" si="305"/>
        <v>0</v>
      </c>
      <c r="I725" s="229">
        <f t="shared" si="305"/>
        <v>0</v>
      </c>
      <c r="J725" s="229">
        <f t="shared" si="305"/>
        <v>0</v>
      </c>
      <c r="K725" s="229">
        <f t="shared" si="305"/>
        <v>0</v>
      </c>
      <c r="L725" s="229">
        <f t="shared" si="305"/>
        <v>0</v>
      </c>
      <c r="M725" s="229">
        <f t="shared" si="305"/>
        <v>90.095938619099144</v>
      </c>
      <c r="N725" s="229">
        <f t="shared" si="305"/>
        <v>90.095938619099144</v>
      </c>
      <c r="O725" s="229">
        <f t="shared" si="305"/>
        <v>90.095938619099144</v>
      </c>
      <c r="P725" s="30"/>
      <c r="Q725" s="271">
        <f t="shared" si="301"/>
        <v>993.99081911142332</v>
      </c>
    </row>
    <row r="726" spans="1:17" x14ac:dyDescent="0.25">
      <c r="D726" s="60"/>
      <c r="E726" s="60"/>
      <c r="F726" s="60"/>
      <c r="G726" s="60"/>
      <c r="H726" s="60"/>
      <c r="I726" s="60"/>
      <c r="J726" s="60"/>
      <c r="K726" s="60"/>
      <c r="L726" s="60"/>
      <c r="M726" s="60"/>
      <c r="N726" s="60"/>
      <c r="O726" s="60"/>
      <c r="P726" s="30"/>
    </row>
    <row r="727" spans="1:17" x14ac:dyDescent="0.25">
      <c r="P727" s="30"/>
    </row>
    <row r="728" spans="1:17" x14ac:dyDescent="0.25">
      <c r="A728" s="88" t="s">
        <v>774</v>
      </c>
      <c r="B728" s="88"/>
      <c r="C728" s="88"/>
      <c r="D728" s="88"/>
      <c r="E728" s="88"/>
      <c r="F728" s="88"/>
      <c r="G728" s="88"/>
      <c r="H728" s="88"/>
      <c r="I728" s="88"/>
      <c r="J728" s="88"/>
      <c r="K728" s="88"/>
      <c r="L728" s="88"/>
      <c r="M728" s="88"/>
      <c r="N728" s="88"/>
      <c r="O728" s="88"/>
      <c r="P728" s="30"/>
    </row>
    <row r="729" spans="1:17" x14ac:dyDescent="0.25">
      <c r="A729" s="89"/>
      <c r="B729" s="24"/>
      <c r="C729" s="24"/>
      <c r="D729" s="24"/>
      <c r="E729" s="24"/>
      <c r="F729" s="24"/>
      <c r="G729" s="24"/>
      <c r="H729" s="24"/>
      <c r="I729" s="24"/>
      <c r="J729" s="24"/>
      <c r="K729" s="24"/>
      <c r="L729" s="24"/>
      <c r="M729" s="24"/>
      <c r="N729" s="24"/>
      <c r="O729" s="24"/>
      <c r="P729" s="30" t="s">
        <v>444</v>
      </c>
    </row>
    <row r="730" spans="1:17" x14ac:dyDescent="0.25">
      <c r="A730" s="90" t="s">
        <v>385</v>
      </c>
      <c r="B730" s="90" t="s">
        <v>436</v>
      </c>
      <c r="C730" s="90" t="s">
        <v>393</v>
      </c>
      <c r="D730" s="91">
        <f>IF('Saisie 2_bovins'!$H$46="oui", (D719)/D$682, (D719)/D$679)</f>
        <v>4.1855276885148509</v>
      </c>
      <c r="E730" s="91">
        <f>IF('Saisie 2_bovins'!$H$46="oui", (E719)/E$682, (E719)/E$679)</f>
        <v>4.1855276885148509</v>
      </c>
      <c r="F730" s="91">
        <f>IF('Saisie 2_bovins'!$H$46="oui", (F719)/F$682, (F719)/F$679)</f>
        <v>1.972760763529684</v>
      </c>
      <c r="G730" s="91">
        <f>IF('Saisie 2_bovins'!$H$46="oui", (G719)/G$682, (G719)/G$679)</f>
        <v>1.4372180722499355</v>
      </c>
      <c r="H730" s="91">
        <f>IF('Saisie 2_bovins'!$H$46="oui", (H719)/H$682, (H719)/H$679)</f>
        <v>1.4202721631181821</v>
      </c>
      <c r="I730" s="91">
        <f>IF('Saisie 2_bovins'!$H$46="oui", (I719)/I$682, (I719)/I$679)</f>
        <v>1.6610455667911601</v>
      </c>
      <c r="J730" s="91">
        <f>IF('Saisie 2_bovins'!$H$46="oui", (J719)/J$682, (J719)/J$679)</f>
        <v>1.9972840483463037</v>
      </c>
      <c r="K730" s="91">
        <f>IF('Saisie 2_bovins'!$H$46="oui", (K719)/K$682, (K719)/K$679)</f>
        <v>2.1645137280283597</v>
      </c>
      <c r="L730" s="91">
        <f>IF('Saisie 2_bovins'!$H$46="oui", (L719)/L$682, (L719)/L$679)</f>
        <v>2.6918930108945935</v>
      </c>
      <c r="M730" s="91">
        <f>IF('Saisie 2_bovins'!$H$46="oui", (M719)/M$682, (M719)/M$679)</f>
        <v>2.7777670683927314</v>
      </c>
      <c r="N730" s="91">
        <f>IF('Saisie 2_bovins'!$H$46="oui", (N719)/N$682, (N719)/N$679)</f>
        <v>4.2530906574966885</v>
      </c>
      <c r="O730" s="91">
        <f>IF('Saisie 2_bovins'!$H$46="oui", (O719)/O$682, (O719)/O$679)</f>
        <v>4.2530906574966885</v>
      </c>
      <c r="P730" s="31">
        <f>AVERAGE(D730:O730)</f>
        <v>2.749999259447836</v>
      </c>
      <c r="Q730" t="s">
        <v>720</v>
      </c>
    </row>
    <row r="731" spans="1:17" x14ac:dyDescent="0.25">
      <c r="A731" s="90" t="s">
        <v>386</v>
      </c>
      <c r="B731" s="90"/>
      <c r="C731" s="90" t="s">
        <v>393</v>
      </c>
      <c r="D731" s="91">
        <f>IF('Saisie 2_bovins'!$H$46="oui", (D720)/D$682, (D720)/D$679)</f>
        <v>0.66593743462982391</v>
      </c>
      <c r="E731" s="91">
        <f>IF('Saisie 2_bovins'!$H$46="oui", (E720)/E$682, (E720)/E$679)</f>
        <v>0.66593743462982391</v>
      </c>
      <c r="F731" s="91">
        <f>IF('Saisie 2_bovins'!$H$46="oui", (F720)/F$682, (F720)/F$679)</f>
        <v>0.3688867539228588</v>
      </c>
      <c r="G731" s="91">
        <f>IF('Saisie 2_bovins'!$H$46="oui", (G720)/G$682, (G720)/G$679)</f>
        <v>0.26581841970695513</v>
      </c>
      <c r="H731" s="91">
        <f>IF('Saisie 2_bovins'!$H$46="oui", (H720)/H$682, (H720)/H$679)</f>
        <v>0.26270482845291926</v>
      </c>
      <c r="I731" s="91">
        <f>IF('Saisie 2_bovins'!$H$46="oui", (I720)/I$682, (I720)/I$679)</f>
        <v>0.28889747195285281</v>
      </c>
      <c r="J731" s="91">
        <f>IF('Saisie 2_bovins'!$H$46="oui", (J720)/J$682, (J720)/J$679)</f>
        <v>0.32548109374266604</v>
      </c>
      <c r="K731" s="91">
        <f>IF('Saisie 2_bovins'!$H$46="oui", (K720)/K$682, (K720)/K$679)</f>
        <v>0.35364295330078965</v>
      </c>
      <c r="L731" s="91">
        <f>IF('Saisie 2_bovins'!$H$46="oui", (L720)/L$682, (L720)/L$679)</f>
        <v>0.43644284329699357</v>
      </c>
      <c r="M731" s="91">
        <f>IF('Saisie 2_bovins'!$H$46="oui", (M720)/M$682, (M720)/M$679)</f>
        <v>0.45650570449402772</v>
      </c>
      <c r="N731" s="91">
        <f>IF('Saisie 2_bovins'!$H$46="oui", (N720)/N$682, (N720)/N$679)</f>
        <v>0.67295366562450276</v>
      </c>
      <c r="O731" s="91">
        <f>IF('Saisie 2_bovins'!$H$46="oui", (O720)/O$682, (O720)/O$679)</f>
        <v>0.67295366562450276</v>
      </c>
      <c r="P731" s="31">
        <f t="shared" ref="P731:P736" si="306">AVERAGE(D731:O731)</f>
        <v>0.45301352244822635</v>
      </c>
    </row>
    <row r="732" spans="1:17" x14ac:dyDescent="0.25">
      <c r="A732" s="90" t="s">
        <v>387</v>
      </c>
      <c r="B732" s="90"/>
      <c r="C732" s="90" t="s">
        <v>393</v>
      </c>
      <c r="D732" s="91">
        <f>IF('Saisie 2_bovins'!$H$46="oui", (D721)/D$682, (D721)/D$679)</f>
        <v>2.9783246223886839</v>
      </c>
      <c r="E732" s="91">
        <f>IF('Saisie 2_bovins'!$H$46="oui", (E721)/E$682, (E721)/E$679)</f>
        <v>2.9783246223886839</v>
      </c>
      <c r="F732" s="91">
        <f>IF('Saisie 2_bovins'!$H$46="oui", (F721)/F$682, (F721)/F$679)</f>
        <v>2.5111811907712616</v>
      </c>
      <c r="G732" s="91">
        <f>IF('Saisie 2_bovins'!$H$46="oui", (G721)/G$682, (G721)/G$679)</f>
        <v>1.8634970397849335</v>
      </c>
      <c r="H732" s="91">
        <f>IF('Saisie 2_bovins'!$H$46="oui", (H721)/H$682, (H721)/H$679)</f>
        <v>1.8435250499548674</v>
      </c>
      <c r="I732" s="91">
        <f>IF('Saisie 2_bovins'!$H$46="oui", (I721)/I$682, (I721)/I$679)</f>
        <v>1.8465993038867847</v>
      </c>
      <c r="J732" s="91">
        <f>IF('Saisie 2_bovins'!$H$46="oui", (J721)/J$682, (J721)/J$679)</f>
        <v>1.756892574153444</v>
      </c>
      <c r="K732" s="91">
        <f>IF('Saisie 2_bovins'!$H$46="oui", (K721)/K$682, (K721)/K$679)</f>
        <v>1.8913483325672222</v>
      </c>
      <c r="L732" s="91">
        <f>IF('Saisie 2_bovins'!$H$46="oui", (L721)/L$682, (L721)/L$679)</f>
        <v>2.3076937699879907</v>
      </c>
      <c r="M732" s="91">
        <f>IF('Saisie 2_bovins'!$H$46="oui", (M721)/M$682, (M721)/M$679)</f>
        <v>2.3414924728712312</v>
      </c>
      <c r="N732" s="91">
        <f>IF('Saisie 2_bovins'!$H$46="oui", (N721)/N$682, (N721)/N$679)</f>
        <v>2.9952185538336482</v>
      </c>
      <c r="O732" s="91">
        <f>IF('Saisie 2_bovins'!$H$46="oui", (O721)/O$682, (O721)/O$679)</f>
        <v>2.9952185538336482</v>
      </c>
      <c r="P732" s="31">
        <f t="shared" si="306"/>
        <v>2.3591096738685331</v>
      </c>
    </row>
    <row r="733" spans="1:17" x14ac:dyDescent="0.25">
      <c r="A733" s="90"/>
      <c r="B733" s="90"/>
      <c r="C733" s="90"/>
      <c r="D733" s="92"/>
      <c r="E733" s="92"/>
      <c r="F733" s="92"/>
      <c r="G733" s="92"/>
      <c r="H733" s="92"/>
      <c r="I733" s="92"/>
      <c r="J733" s="92"/>
      <c r="K733" s="92"/>
      <c r="L733" s="92"/>
      <c r="M733" s="92"/>
      <c r="N733" s="92"/>
      <c r="O733" s="92"/>
      <c r="P733" s="31"/>
    </row>
    <row r="734" spans="1:17" x14ac:dyDescent="0.25">
      <c r="A734" s="90" t="s">
        <v>253</v>
      </c>
      <c r="B734" s="90" t="s">
        <v>437</v>
      </c>
      <c r="C734" s="90" t="s">
        <v>394</v>
      </c>
      <c r="D734" s="91">
        <f>IF('Saisie 2_bovins'!$H$46="oui", (D723)/D$681, IF(D$676=0,0,(D723)/D$676))</f>
        <v>5.6590028534196346</v>
      </c>
      <c r="E734" s="91">
        <f>IF('Saisie 2_bovins'!$H$46="oui", (E723)/E$681, IF(E$676=0,0,(E723)/E$676))</f>
        <v>5.6590028534196346</v>
      </c>
      <c r="F734" s="91">
        <f>IF('Saisie 2_bovins'!$H$46="oui", (F723)/F$681, IF(F$676=0,0,(F723)/F$676))</f>
        <v>5.4469316592592616</v>
      </c>
      <c r="G734" s="91">
        <f>IF('Saisie 2_bovins'!$H$46="oui", (G723)/G$681, IF(G$676=0,0,(G723)/G$676))</f>
        <v>4.9240906285714292</v>
      </c>
      <c r="H734" s="91">
        <f>IF('Saisie 2_bovins'!$H$46="oui", (H723)/H$681, IF(H$676=0,0,(H723)/H$676))</f>
        <v>0</v>
      </c>
      <c r="I734" s="91">
        <f>IF('Saisie 2_bovins'!$H$46="oui", (I723)/I$681, IF(I$676=0,0,(I723)/I$676))</f>
        <v>0</v>
      </c>
      <c r="J734" s="91">
        <f>IF('Saisie 2_bovins'!$H$46="oui", (J723)/J$681, IF(J$676=0,0,(J723)/J$676))</f>
        <v>0</v>
      </c>
      <c r="K734" s="91">
        <f>IF('Saisie 2_bovins'!$H$46="oui", (K723)/K$681, IF(K$676=0,0,(K723)/K$676))</f>
        <v>0</v>
      </c>
      <c r="L734" s="91">
        <f>IF('Saisie 2_bovins'!$H$46="oui", (L723)/L$681, IF(L$676=0,0,(L723)/L$676))</f>
        <v>0</v>
      </c>
      <c r="M734" s="91">
        <f>IF('Saisie 2_bovins'!$H$46="oui", (M723)/M$681, IF(M$676=0,0,(M723)/M$676))</f>
        <v>6.1789091022222236</v>
      </c>
      <c r="N734" s="91">
        <f>IF('Saisie 2_bovins'!$H$46="oui", (N723)/N$681, IF(N$676=0,0,(N723)/N$676))</f>
        <v>6.1789091022222236</v>
      </c>
      <c r="O734" s="91">
        <f>IF('Saisie 2_bovins'!$H$46="oui", (O723)/O$681, IF(O$676=0,0,(O723)/O$676))</f>
        <v>6.1789091022222236</v>
      </c>
      <c r="P734" s="31">
        <f t="shared" si="306"/>
        <v>3.3521462751113855</v>
      </c>
      <c r="Q734" t="s">
        <v>445</v>
      </c>
    </row>
    <row r="735" spans="1:17" x14ac:dyDescent="0.25">
      <c r="A735" s="90" t="s">
        <v>254</v>
      </c>
      <c r="B735" s="90"/>
      <c r="C735" s="90" t="s">
        <v>394</v>
      </c>
      <c r="D735" s="91">
        <f>IF('Saisie 2_bovins'!$H$46="oui", (D724)/D$681, IF(D$676=0,0,(D724)/D$676))</f>
        <v>1.2819577425386552</v>
      </c>
      <c r="E735" s="91">
        <f>IF('Saisie 2_bovins'!$H$46="oui", (E724)/E$681, IF(E$676=0,0,(E724)/E$676))</f>
        <v>1.2819577425386552</v>
      </c>
      <c r="F735" s="91">
        <f>IF('Saisie 2_bovins'!$H$46="oui", (F724)/F$681, IF(F$676=0,0,(F724)/F$676))</f>
        <v>1.2392699691358027</v>
      </c>
      <c r="G735" s="91">
        <f>IF('Saisie 2_bovins'!$H$46="oui", (G724)/G$681, IF(G$676=0,0,(G724)/G$676))</f>
        <v>1.1450769047619049</v>
      </c>
      <c r="H735" s="91">
        <f>IF('Saisie 2_bovins'!$H$46="oui", (H724)/H$681, IF(H$676=0,0,(H724)/H$676))</f>
        <v>0</v>
      </c>
      <c r="I735" s="91">
        <f>IF('Saisie 2_bovins'!$H$46="oui", (I724)/I$681, IF(I$676=0,0,(I724)/I$676))</f>
        <v>0</v>
      </c>
      <c r="J735" s="91">
        <f>IF('Saisie 2_bovins'!$H$46="oui", (J724)/J$681, IF(J$676=0,0,(J724)/J$676))</f>
        <v>0</v>
      </c>
      <c r="K735" s="91">
        <f>IF('Saisie 2_bovins'!$H$46="oui", (K724)/K$681, IF(K$676=0,0,(K724)/K$676))</f>
        <v>0</v>
      </c>
      <c r="L735" s="91">
        <f>IF('Saisie 2_bovins'!$H$46="oui", (L724)/L$681, IF(L$676=0,0,(L724)/L$676))</f>
        <v>0</v>
      </c>
      <c r="M735" s="91">
        <f>IF('Saisie 2_bovins'!$H$46="oui", (M724)/M$681, IF(M$676=0,0,(M724)/M$676))</f>
        <v>1.3711402592592594</v>
      </c>
      <c r="N735" s="91">
        <f>IF('Saisie 2_bovins'!$H$46="oui", (N724)/N$681, IF(N$676=0,0,(N724)/N$676))</f>
        <v>1.3711402592592594</v>
      </c>
      <c r="O735" s="91">
        <f>IF('Saisie 2_bovins'!$H$46="oui", (O724)/O$681, IF(O$676=0,0,(O724)/O$676))</f>
        <v>1.3711402592592594</v>
      </c>
      <c r="P735" s="31">
        <f t="shared" si="306"/>
        <v>0.75514026139606649</v>
      </c>
      <c r="Q735" s="291" t="s">
        <v>882</v>
      </c>
    </row>
    <row r="736" spans="1:17" x14ac:dyDescent="0.25">
      <c r="A736" s="90" t="s">
        <v>255</v>
      </c>
      <c r="B736" s="90"/>
      <c r="C736" s="90" t="s">
        <v>394</v>
      </c>
      <c r="D736" s="91">
        <f>IF('Saisie 2_bovins'!$H$46="oui", (D725)/D$681, IF(D$676=0,0,(D725)/D$676))</f>
        <v>6.8444658262728524</v>
      </c>
      <c r="E736" s="91">
        <f>IF('Saisie 2_bovins'!$H$46="oui", (E725)/E$681, IF(E$676=0,0,(E725)/E$676))</f>
        <v>6.8444658262728524</v>
      </c>
      <c r="F736" s="91">
        <f>IF('Saisie 2_bovins'!$H$46="oui", (F725)/F$681, IF(F$676=0,0,(F725)/F$676))</f>
        <v>6.5818927156419766</v>
      </c>
      <c r="G736" s="91">
        <f>IF('Saisie 2_bovins'!$H$46="oui", (G725)/G$681, IF(G$676=0,0,(G725)/G$676))</f>
        <v>5.9974530155238108</v>
      </c>
      <c r="H736" s="91">
        <f>IF('Saisie 2_bovins'!$H$46="oui", (H725)/H$681, IF(H$676=0,0,(H725)/H$676))</f>
        <v>0</v>
      </c>
      <c r="I736" s="91">
        <f>IF('Saisie 2_bovins'!$H$46="oui", (I725)/I$681, IF(I$676=0,0,(I725)/I$676))</f>
        <v>0</v>
      </c>
      <c r="J736" s="91">
        <f>IF('Saisie 2_bovins'!$H$46="oui", (J725)/J$681, IF(J$676=0,0,(J725)/J$676))</f>
        <v>0</v>
      </c>
      <c r="K736" s="91">
        <f>IF('Saisie 2_bovins'!$H$46="oui", (K725)/K$681, IF(K$676=0,0,(K725)/K$676))</f>
        <v>0</v>
      </c>
      <c r="L736" s="91">
        <f>IF('Saisie 2_bovins'!$H$46="oui", (L725)/L$681, IF(L$676=0,0,(L725)/L$676))</f>
        <v>0</v>
      </c>
      <c r="M736" s="91">
        <f>IF('Saisie 2_bovins'!$H$46="oui", (M725)/M$681, IF(M$676=0,0,(M725)/M$676))</f>
        <v>7.4001082958074091</v>
      </c>
      <c r="N736" s="91">
        <f>IF('Saisie 2_bovins'!$H$46="oui", (N725)/N$681, IF(N$676=0,0,(N725)/N$676))</f>
        <v>7.4001082958074091</v>
      </c>
      <c r="O736" s="91">
        <f>IF('Saisie 2_bovins'!$H$46="oui", (O725)/O$681, IF(O$676=0,0,(O725)/O$676))</f>
        <v>7.4001082958074091</v>
      </c>
      <c r="P736" s="31">
        <f t="shared" si="306"/>
        <v>4.0390501892611423</v>
      </c>
    </row>
    <row r="737" spans="1:22" x14ac:dyDescent="0.25">
      <c r="P737" s="30"/>
    </row>
    <row r="738" spans="1:22" x14ac:dyDescent="0.25">
      <c r="P738" s="30"/>
    </row>
    <row r="739" spans="1:22" x14ac:dyDescent="0.25">
      <c r="A739" s="88"/>
      <c r="B739" s="274"/>
      <c r="C739" s="274"/>
      <c r="D739" s="274"/>
      <c r="E739" s="274"/>
      <c r="F739" s="274"/>
      <c r="G739" s="274"/>
      <c r="H739" s="274"/>
      <c r="I739" s="274"/>
      <c r="J739" s="274"/>
      <c r="K739" s="274"/>
      <c r="L739" s="274"/>
      <c r="M739" s="274"/>
      <c r="N739" s="274"/>
      <c r="O739" s="274"/>
      <c r="P739" s="30"/>
    </row>
    <row r="740" spans="1:22" x14ac:dyDescent="0.25">
      <c r="A740" t="s">
        <v>786</v>
      </c>
      <c r="P740" s="30"/>
    </row>
    <row r="741" spans="1:22" x14ac:dyDescent="0.25">
      <c r="A741" t="s">
        <v>780</v>
      </c>
      <c r="B741" t="s">
        <v>784</v>
      </c>
      <c r="C741" t="s">
        <v>205</v>
      </c>
      <c r="D741">
        <f>(D55*SUM(D69:O69)+D136*SUM(D155:O155)+D219*SUM(D236:O236)+D300*SUM(D317:O317)+D381*SUM(D398:O398)+D461*SUM(D478:O478)+D541*SUM(D558:O558)+D621*SUM(D638:O638))/C753</f>
        <v>22.1</v>
      </c>
      <c r="P741" s="30"/>
    </row>
    <row r="742" spans="1:22" x14ac:dyDescent="0.25">
      <c r="A742" t="s">
        <v>785</v>
      </c>
      <c r="B742" t="s">
        <v>791</v>
      </c>
      <c r="C742" t="s">
        <v>783</v>
      </c>
      <c r="D742" s="28">
        <f>D741*0.581+3.397</f>
        <v>16.237099999999998</v>
      </c>
      <c r="P742" s="30"/>
    </row>
    <row r="743" spans="1:22" x14ac:dyDescent="0.25">
      <c r="A743" t="s">
        <v>557</v>
      </c>
      <c r="P743" s="30"/>
    </row>
    <row r="744" spans="1:22" x14ac:dyDescent="0.25">
      <c r="A744" t="s">
        <v>787</v>
      </c>
      <c r="B744" t="s">
        <v>789</v>
      </c>
      <c r="C744" t="s">
        <v>205</v>
      </c>
      <c r="D744" s="28">
        <f>6.16*S752-0.226</f>
        <v>6.9529679306629619</v>
      </c>
      <c r="P744" s="30"/>
    </row>
    <row r="745" spans="1:22" x14ac:dyDescent="0.25">
      <c r="A745" t="s">
        <v>788</v>
      </c>
      <c r="B745" t="s">
        <v>790</v>
      </c>
      <c r="C745" t="s">
        <v>783</v>
      </c>
      <c r="D745" s="28">
        <f>4.359*S752-0.169</f>
        <v>4.911052144441534</v>
      </c>
      <c r="P745" s="30"/>
    </row>
    <row r="746" spans="1:22" x14ac:dyDescent="0.25">
      <c r="P746" s="30"/>
    </row>
    <row r="747" spans="1:22" x14ac:dyDescent="0.25">
      <c r="A747" s="266" t="s">
        <v>756</v>
      </c>
      <c r="B747" s="246"/>
      <c r="C747" s="246"/>
      <c r="D747" s="246"/>
      <c r="E747" s="246"/>
      <c r="F747" s="246"/>
      <c r="G747" s="246"/>
      <c r="H747" s="246"/>
      <c r="I747" s="246"/>
      <c r="J747" s="246"/>
      <c r="K747" s="246"/>
      <c r="L747" s="246"/>
      <c r="M747" s="246"/>
      <c r="N747" s="246"/>
      <c r="O747" s="246"/>
      <c r="P747" s="30"/>
    </row>
    <row r="748" spans="1:22" ht="15.75" thickBot="1" x14ac:dyDescent="0.3"/>
    <row r="749" spans="1:22" x14ac:dyDescent="0.25">
      <c r="A749" s="172"/>
      <c r="B749" s="173"/>
      <c r="C749" s="173"/>
      <c r="D749" s="174"/>
      <c r="E749" s="1102" t="s">
        <v>642</v>
      </c>
      <c r="F749" s="1103"/>
      <c r="G749" s="1103"/>
      <c r="H749" s="1103"/>
      <c r="I749" s="1103"/>
      <c r="J749" s="1103"/>
      <c r="K749" s="1103"/>
      <c r="L749" s="1104"/>
      <c r="M749" s="1104"/>
      <c r="N749" s="1101" t="s">
        <v>750</v>
      </c>
      <c r="O749" s="1101"/>
      <c r="P749" s="1101"/>
      <c r="Q749" s="1101"/>
      <c r="R749" s="1101"/>
      <c r="S749" s="1101"/>
      <c r="T749" s="1101"/>
      <c r="U749" s="235"/>
      <c r="V749" s="235"/>
    </row>
    <row r="750" spans="1:22" x14ac:dyDescent="0.25">
      <c r="A750" s="247" t="s">
        <v>504</v>
      </c>
      <c r="B750" s="233" t="s">
        <v>505</v>
      </c>
      <c r="C750" s="233" t="s">
        <v>477</v>
      </c>
      <c r="D750" s="105" t="s">
        <v>518</v>
      </c>
      <c r="E750" s="235" t="s">
        <v>118</v>
      </c>
      <c r="F750" s="235" t="s">
        <v>506</v>
      </c>
      <c r="G750" s="235" t="s">
        <v>507</v>
      </c>
      <c r="H750" s="235" t="s">
        <v>508</v>
      </c>
      <c r="I750" s="235" t="s">
        <v>509</v>
      </c>
      <c r="J750" s="235" t="s">
        <v>510</v>
      </c>
      <c r="K750" s="235" t="s">
        <v>511</v>
      </c>
      <c r="L750" s="235" t="s">
        <v>607</v>
      </c>
      <c r="M750" s="234" t="s">
        <v>608</v>
      </c>
      <c r="N750" s="235" t="s">
        <v>118</v>
      </c>
      <c r="O750" s="235" t="s">
        <v>506</v>
      </c>
      <c r="P750" s="235" t="s">
        <v>507</v>
      </c>
      <c r="Q750" s="235" t="s">
        <v>508</v>
      </c>
      <c r="R750" s="235" t="s">
        <v>509</v>
      </c>
      <c r="S750" s="235" t="s">
        <v>510</v>
      </c>
      <c r="T750" s="235" t="s">
        <v>511</v>
      </c>
      <c r="U750" s="243" t="s">
        <v>607</v>
      </c>
      <c r="V750" s="235" t="s">
        <v>608</v>
      </c>
    </row>
    <row r="751" spans="1:22" x14ac:dyDescent="0.25">
      <c r="A751" s="175"/>
      <c r="B751" s="106"/>
      <c r="C751" s="106"/>
      <c r="D751" s="107"/>
      <c r="E751" s="1101" t="s">
        <v>303</v>
      </c>
      <c r="F751" s="1101"/>
      <c r="G751" s="1101"/>
      <c r="H751" s="1101" t="s">
        <v>512</v>
      </c>
      <c r="I751" s="1101"/>
      <c r="J751" s="1101"/>
      <c r="K751" s="1101"/>
      <c r="L751" s="1105" t="s">
        <v>609</v>
      </c>
      <c r="M751" s="1106"/>
      <c r="N751" s="1101" t="s">
        <v>513</v>
      </c>
      <c r="O751" s="1101"/>
      <c r="P751" s="1101"/>
      <c r="Q751" s="1101" t="s">
        <v>514</v>
      </c>
      <c r="R751" s="1101"/>
      <c r="S751" s="1101"/>
      <c r="T751" s="1101"/>
      <c r="U751" s="1100" t="s">
        <v>610</v>
      </c>
      <c r="V751" s="1101"/>
    </row>
    <row r="752" spans="1:22" x14ac:dyDescent="0.25">
      <c r="A752" s="248" t="s">
        <v>515</v>
      </c>
      <c r="B752" s="249" t="s">
        <v>749</v>
      </c>
      <c r="C752" s="250">
        <f>IF('Saisie 2_bovins'!H46="oui",'Saisie 2_bovins'!H47, O758)</f>
        <v>1013.3185541666667</v>
      </c>
      <c r="D752" s="250" t="s">
        <v>374</v>
      </c>
      <c r="E752" s="251">
        <f>C752*N752/100</f>
        <v>70.455714106665923</v>
      </c>
      <c r="F752" s="252">
        <f>C752*O752/100</f>
        <v>49.764602584426029</v>
      </c>
      <c r="G752" s="253">
        <f>F752/2</f>
        <v>24.882301292213015</v>
      </c>
      <c r="H752" s="251">
        <f>O761</f>
        <v>3167.7193386666072</v>
      </c>
      <c r="I752" s="254"/>
      <c r="J752" s="252">
        <f>O762*2.29</f>
        <v>1180.9385395954966</v>
      </c>
      <c r="K752" s="253">
        <f>O763*1.2</f>
        <v>3075.2058442923676</v>
      </c>
      <c r="L752" s="254" t="s">
        <v>50</v>
      </c>
      <c r="M752" s="254" t="s">
        <v>50</v>
      </c>
      <c r="N752" s="255">
        <f>D744</f>
        <v>6.9529679306629619</v>
      </c>
      <c r="O752" s="256">
        <f>D745</f>
        <v>4.911052144441534</v>
      </c>
      <c r="P752" s="276">
        <f>O752/2</f>
        <v>2.455526072220767</v>
      </c>
      <c r="Q752" s="255">
        <f>H752/C752</f>
        <v>3.1260844140682664</v>
      </c>
      <c r="R752" s="258"/>
      <c r="S752" s="256">
        <f>J752/C752</f>
        <v>1.1654168718608704</v>
      </c>
      <c r="T752" s="257">
        <f>K752/C752</f>
        <v>3.0347868709671033</v>
      </c>
      <c r="U752" s="258" t="s">
        <v>50</v>
      </c>
      <c r="V752" s="259" t="s">
        <v>50</v>
      </c>
    </row>
    <row r="753" spans="1:22" x14ac:dyDescent="0.25">
      <c r="A753" s="260" t="s">
        <v>522</v>
      </c>
      <c r="B753" s="48" t="s">
        <v>83</v>
      </c>
      <c r="C753" s="261">
        <f>IF('Saisie 2_bovins'!H46="oui",'Saisie 2_bovins'!H48, O759)</f>
        <v>145.49063655030798</v>
      </c>
      <c r="D753" s="261" t="s">
        <v>303</v>
      </c>
      <c r="E753" s="262">
        <f>C753*N753/100</f>
        <v>32.153430677618069</v>
      </c>
      <c r="F753" s="263">
        <f>C753*O753/100</f>
        <v>23.623460147310055</v>
      </c>
      <c r="G753" s="264">
        <f>F753/2</f>
        <v>11.811730073655028</v>
      </c>
      <c r="H753" s="262">
        <f>O765</f>
        <v>823.59820283291344</v>
      </c>
      <c r="I753" s="265"/>
      <c r="J753" s="263">
        <f>O766*2.29</f>
        <v>426.3745736647071</v>
      </c>
      <c r="K753" s="264">
        <f>O767*1.2</f>
        <v>1192.788982933708</v>
      </c>
      <c r="L753" s="265" t="s">
        <v>50</v>
      </c>
      <c r="M753" s="265" t="s">
        <v>50</v>
      </c>
      <c r="N753" s="255">
        <f>D741</f>
        <v>22.1</v>
      </c>
      <c r="O753" s="256">
        <f>D742</f>
        <v>16.237099999999998</v>
      </c>
      <c r="P753" s="276">
        <f>O753/2</f>
        <v>8.118549999999999</v>
      </c>
      <c r="Q753" s="255">
        <f>H753/C753</f>
        <v>5.6608330430125537</v>
      </c>
      <c r="R753" s="258"/>
      <c r="S753" s="256">
        <f>J753/C753</f>
        <v>2.9305980355462573</v>
      </c>
      <c r="T753" s="257">
        <f>K753/C753</f>
        <v>8.198390021623581</v>
      </c>
      <c r="U753" s="258" t="s">
        <v>50</v>
      </c>
      <c r="V753" s="259" t="s">
        <v>50</v>
      </c>
    </row>
    <row r="754" spans="1:22" ht="15.75" thickBot="1" x14ac:dyDescent="0.3">
      <c r="A754" s="181"/>
      <c r="B754" s="182"/>
      <c r="C754" s="176"/>
      <c r="D754" s="176"/>
      <c r="E754" s="177"/>
      <c r="F754" s="178"/>
      <c r="G754" s="179"/>
      <c r="H754" s="177"/>
      <c r="I754" s="178"/>
      <c r="J754" s="178"/>
      <c r="K754" s="179"/>
      <c r="L754" s="178"/>
      <c r="M754" s="178"/>
      <c r="N754" s="240"/>
      <c r="O754" s="241"/>
      <c r="P754" s="242"/>
      <c r="Q754" s="240"/>
      <c r="R754" s="241"/>
      <c r="S754" s="241"/>
      <c r="T754" s="242"/>
      <c r="U754" s="241"/>
      <c r="V754" s="242"/>
    </row>
    <row r="755" spans="1:22" x14ac:dyDescent="0.25">
      <c r="Q755" s="12"/>
    </row>
    <row r="758" spans="1:22" x14ac:dyDescent="0.25">
      <c r="A758" t="s">
        <v>757</v>
      </c>
      <c r="C758" t="s">
        <v>759</v>
      </c>
      <c r="D758" s="229">
        <f>D679</f>
        <v>125.23946284722223</v>
      </c>
      <c r="E758" s="229">
        <f t="shared" ref="E758:O758" si="307">D758+E679</f>
        <v>250.47892569444446</v>
      </c>
      <c r="F758" s="229">
        <f t="shared" si="307"/>
        <v>330.17838854166666</v>
      </c>
      <c r="G758" s="229">
        <f t="shared" si="307"/>
        <v>387.10785138888889</v>
      </c>
      <c r="H758" s="229">
        <f t="shared" si="307"/>
        <v>444.03731423611111</v>
      </c>
      <c r="I758" s="229">
        <f t="shared" si="307"/>
        <v>500.96677708333334</v>
      </c>
      <c r="J758" s="229">
        <f t="shared" si="307"/>
        <v>557.89623993055557</v>
      </c>
      <c r="K758" s="229">
        <f t="shared" si="307"/>
        <v>618.62070277777775</v>
      </c>
      <c r="L758" s="229">
        <f t="shared" si="307"/>
        <v>690.73016562499993</v>
      </c>
      <c r="M758" s="229">
        <f t="shared" si="307"/>
        <v>762.8396284722221</v>
      </c>
      <c r="N758" s="229">
        <f t="shared" si="307"/>
        <v>888.07909131944439</v>
      </c>
      <c r="O758" s="229">
        <f t="shared" si="307"/>
        <v>1013.3185541666667</v>
      </c>
      <c r="P758" s="30" t="s">
        <v>883</v>
      </c>
    </row>
    <row r="759" spans="1:22" x14ac:dyDescent="0.25">
      <c r="A759" t="s">
        <v>758</v>
      </c>
      <c r="C759" t="s">
        <v>760</v>
      </c>
      <c r="D759" s="229">
        <f>D676</f>
        <v>31.350492813141678</v>
      </c>
      <c r="E759" s="229">
        <f t="shared" ref="E759:O759" si="308">D759+E676</f>
        <v>62.700985626283355</v>
      </c>
      <c r="F759" s="229">
        <f t="shared" si="308"/>
        <v>91.920862422997928</v>
      </c>
      <c r="G759" s="229">
        <f t="shared" si="308"/>
        <v>108.96579055441477</v>
      </c>
      <c r="H759" s="229">
        <f t="shared" si="308"/>
        <v>108.96579055441477</v>
      </c>
      <c r="I759" s="229">
        <f t="shared" si="308"/>
        <v>108.96579055441477</v>
      </c>
      <c r="J759" s="229">
        <f t="shared" si="308"/>
        <v>108.96579055441477</v>
      </c>
      <c r="K759" s="229">
        <f t="shared" si="308"/>
        <v>108.96579055441477</v>
      </c>
      <c r="L759" s="229">
        <f t="shared" si="308"/>
        <v>108.96579055441477</v>
      </c>
      <c r="M759" s="229">
        <f t="shared" si="308"/>
        <v>121.1407392197125</v>
      </c>
      <c r="N759" s="229">
        <f t="shared" si="308"/>
        <v>133.31568788501025</v>
      </c>
      <c r="O759" s="229">
        <f t="shared" si="308"/>
        <v>145.49063655030798</v>
      </c>
      <c r="P759" s="30" t="s">
        <v>884</v>
      </c>
    </row>
    <row r="760" spans="1:22" x14ac:dyDescent="0.25">
      <c r="P760" s="30"/>
    </row>
    <row r="761" spans="1:22" x14ac:dyDescent="0.25">
      <c r="A761" t="s">
        <v>761</v>
      </c>
      <c r="C761" t="s">
        <v>751</v>
      </c>
      <c r="D761" s="229">
        <f>D719</f>
        <v>524.19323944177563</v>
      </c>
      <c r="E761" s="229">
        <f>D761+E719</f>
        <v>1048.3864788835513</v>
      </c>
      <c r="F761" s="229">
        <f>E761+F719</f>
        <v>1205.6144520629432</v>
      </c>
      <c r="G761" s="229">
        <f t="shared" ref="G761:O761" si="309">F761+G719</f>
        <v>1287.4345049104522</v>
      </c>
      <c r="H761" s="229">
        <f t="shared" si="309"/>
        <v>1368.2898362536328</v>
      </c>
      <c r="I761" s="229">
        <f t="shared" si="309"/>
        <v>1462.8522681358133</v>
      </c>
      <c r="J761" s="229">
        <f t="shared" si="309"/>
        <v>1576.5565761614939</v>
      </c>
      <c r="K761" s="229">
        <f t="shared" si="309"/>
        <v>1707.9955096214544</v>
      </c>
      <c r="L761" s="229">
        <f t="shared" si="309"/>
        <v>1902.1064686792554</v>
      </c>
      <c r="M761" s="229">
        <f t="shared" si="309"/>
        <v>2102.4097598957583</v>
      </c>
      <c r="N761" s="229">
        <f t="shared" si="309"/>
        <v>2635.0645492811827</v>
      </c>
      <c r="O761" s="270">
        <f t="shared" si="309"/>
        <v>3167.7193386666072</v>
      </c>
      <c r="P761" s="30"/>
    </row>
    <row r="762" spans="1:22" x14ac:dyDescent="0.25">
      <c r="A762" t="s">
        <v>762</v>
      </c>
      <c r="C762" t="s">
        <v>752</v>
      </c>
      <c r="D762" s="229">
        <f t="shared" ref="D762:D767" si="310">D720</f>
        <v>83.401646602896307</v>
      </c>
      <c r="E762" s="229">
        <f t="shared" ref="E762:O762" si="311">D762+E720</f>
        <v>166.80329320579261</v>
      </c>
      <c r="F762" s="229">
        <f t="shared" si="311"/>
        <v>196.2033693448999</v>
      </c>
      <c r="G762" s="229">
        <f t="shared" si="311"/>
        <v>211.33626919371432</v>
      </c>
      <c r="H762" s="229">
        <f t="shared" si="311"/>
        <v>226.29191396491066</v>
      </c>
      <c r="I762" s="229">
        <f t="shared" si="311"/>
        <v>242.73869186110701</v>
      </c>
      <c r="J762" s="229">
        <f t="shared" si="311"/>
        <v>261.2681556948034</v>
      </c>
      <c r="K762" s="229">
        <f t="shared" si="311"/>
        <v>282.74293407369913</v>
      </c>
      <c r="L762" s="229">
        <f t="shared" si="311"/>
        <v>314.21459306735971</v>
      </c>
      <c r="M762" s="229">
        <f t="shared" si="311"/>
        <v>347.1329742051168</v>
      </c>
      <c r="N762" s="229">
        <f t="shared" si="311"/>
        <v>431.4133298089987</v>
      </c>
      <c r="O762" s="270">
        <f t="shared" si="311"/>
        <v>515.69368541288065</v>
      </c>
      <c r="P762" s="30"/>
    </row>
    <row r="763" spans="1:22" x14ac:dyDescent="0.25">
      <c r="A763" t="s">
        <v>763</v>
      </c>
      <c r="C763" t="s">
        <v>753</v>
      </c>
      <c r="D763" s="229">
        <f t="shared" si="310"/>
        <v>373.00377589261473</v>
      </c>
      <c r="E763" s="229">
        <f t="shared" ref="E763:O763" si="312">D763+E721</f>
        <v>746.00755178522945</v>
      </c>
      <c r="F763" s="229">
        <f t="shared" si="312"/>
        <v>946.14734380174696</v>
      </c>
      <c r="G763" s="229">
        <f t="shared" si="312"/>
        <v>1052.2352292940918</v>
      </c>
      <c r="H763" s="229">
        <f t="shared" si="312"/>
        <v>1157.1861201334209</v>
      </c>
      <c r="I763" s="229">
        <f t="shared" si="312"/>
        <v>1262.31202659775</v>
      </c>
      <c r="J763" s="229">
        <f t="shared" si="312"/>
        <v>1362.330977124579</v>
      </c>
      <c r="K763" s="229">
        <f t="shared" si="312"/>
        <v>1477.182088676713</v>
      </c>
      <c r="L763" s="229">
        <f t="shared" si="312"/>
        <v>1643.5886468464282</v>
      </c>
      <c r="M763" s="229">
        <f t="shared" si="312"/>
        <v>1812.4324113259868</v>
      </c>
      <c r="N763" s="229">
        <f t="shared" si="312"/>
        <v>2187.5519741181465</v>
      </c>
      <c r="O763" s="270">
        <f t="shared" si="312"/>
        <v>2562.6715369103063</v>
      </c>
      <c r="P763" s="30"/>
    </row>
    <row r="764" spans="1:22" x14ac:dyDescent="0.25">
      <c r="D764" s="229"/>
      <c r="E764" s="229"/>
      <c r="F764" s="229"/>
      <c r="G764" s="229"/>
      <c r="H764" s="229"/>
      <c r="I764" s="229"/>
      <c r="J764" s="229"/>
      <c r="K764" s="229"/>
      <c r="L764" s="229"/>
      <c r="M764" s="229"/>
      <c r="N764" s="229"/>
      <c r="O764" s="270"/>
      <c r="P764" s="30"/>
    </row>
    <row r="765" spans="1:22" x14ac:dyDescent="0.25">
      <c r="A765" t="s">
        <v>764</v>
      </c>
      <c r="C765" t="s">
        <v>751</v>
      </c>
      <c r="D765" s="229">
        <f t="shared" si="310"/>
        <v>177.41252828568051</v>
      </c>
      <c r="E765" s="229">
        <f t="shared" ref="E765:O765" si="313">D765+E723</f>
        <v>354.82505657136102</v>
      </c>
      <c r="F765" s="229">
        <f t="shared" si="313"/>
        <v>513.98372857504069</v>
      </c>
      <c r="G765" s="229">
        <f t="shared" si="313"/>
        <v>597.9144994516239</v>
      </c>
      <c r="H765" s="229">
        <f t="shared" si="313"/>
        <v>597.9144994516239</v>
      </c>
      <c r="I765" s="229">
        <f t="shared" si="313"/>
        <v>597.9144994516239</v>
      </c>
      <c r="J765" s="229">
        <f t="shared" si="313"/>
        <v>597.9144994516239</v>
      </c>
      <c r="K765" s="229">
        <f t="shared" si="313"/>
        <v>597.9144994516239</v>
      </c>
      <c r="L765" s="229">
        <f t="shared" si="313"/>
        <v>597.9144994516239</v>
      </c>
      <c r="M765" s="229">
        <f t="shared" si="313"/>
        <v>673.14240057872041</v>
      </c>
      <c r="N765" s="229">
        <f t="shared" si="313"/>
        <v>748.37030170581693</v>
      </c>
      <c r="O765" s="270">
        <f t="shared" si="313"/>
        <v>823.59820283291344</v>
      </c>
      <c r="P765" s="30"/>
    </row>
    <row r="766" spans="1:22" x14ac:dyDescent="0.25">
      <c r="A766" t="s">
        <v>765</v>
      </c>
      <c r="C766" t="s">
        <v>752</v>
      </c>
      <c r="D766" s="229">
        <f t="shared" si="310"/>
        <v>40.19000699420944</v>
      </c>
      <c r="E766" s="229">
        <f t="shared" ref="E766:O766" si="314">D766+E724</f>
        <v>80.380013988418881</v>
      </c>
      <c r="F766" s="229">
        <f t="shared" si="314"/>
        <v>116.5913298044353</v>
      </c>
      <c r="G766" s="229">
        <f t="shared" si="314"/>
        <v>136.10908335104722</v>
      </c>
      <c r="H766" s="229">
        <f t="shared" si="314"/>
        <v>136.10908335104722</v>
      </c>
      <c r="I766" s="229">
        <f t="shared" si="314"/>
        <v>136.10908335104722</v>
      </c>
      <c r="J766" s="229">
        <f t="shared" si="314"/>
        <v>136.10908335104722</v>
      </c>
      <c r="K766" s="229">
        <f t="shared" si="314"/>
        <v>136.10908335104722</v>
      </c>
      <c r="L766" s="229">
        <f t="shared" si="314"/>
        <v>136.10908335104722</v>
      </c>
      <c r="M766" s="229">
        <f t="shared" si="314"/>
        <v>152.80264562045173</v>
      </c>
      <c r="N766" s="229">
        <f t="shared" si="314"/>
        <v>169.49620788985624</v>
      </c>
      <c r="O766" s="270">
        <f t="shared" si="314"/>
        <v>186.18977015926075</v>
      </c>
      <c r="P766" s="30"/>
    </row>
    <row r="767" spans="1:22" x14ac:dyDescent="0.25">
      <c r="A767" t="s">
        <v>766</v>
      </c>
      <c r="C767" t="s">
        <v>753</v>
      </c>
      <c r="D767" s="229">
        <f t="shared" si="310"/>
        <v>214.57737669636089</v>
      </c>
      <c r="E767" s="229">
        <f t="shared" ref="E767:O767" si="315">D767+E725</f>
        <v>429.15475339272177</v>
      </c>
      <c r="F767" s="229">
        <f t="shared" si="315"/>
        <v>621.47684763297343</v>
      </c>
      <c r="G767" s="229">
        <f t="shared" si="315"/>
        <v>723.70300325412597</v>
      </c>
      <c r="H767" s="229">
        <f t="shared" si="315"/>
        <v>723.70300325412597</v>
      </c>
      <c r="I767" s="229">
        <f t="shared" si="315"/>
        <v>723.70300325412597</v>
      </c>
      <c r="J767" s="229">
        <f t="shared" si="315"/>
        <v>723.70300325412597</v>
      </c>
      <c r="K767" s="229">
        <f t="shared" si="315"/>
        <v>723.70300325412597</v>
      </c>
      <c r="L767" s="229">
        <f t="shared" si="315"/>
        <v>723.70300325412597</v>
      </c>
      <c r="M767" s="229">
        <f t="shared" si="315"/>
        <v>813.79894187322509</v>
      </c>
      <c r="N767" s="229">
        <f t="shared" si="315"/>
        <v>903.89488049232421</v>
      </c>
      <c r="O767" s="270">
        <f t="shared" si="315"/>
        <v>993.99081911142332</v>
      </c>
      <c r="P767" s="30"/>
    </row>
    <row r="768" spans="1:22" x14ac:dyDescent="0.25">
      <c r="P768" s="30"/>
    </row>
    <row r="769" spans="1:16" x14ac:dyDescent="0.25">
      <c r="A769" s="5" t="s">
        <v>769</v>
      </c>
      <c r="D769" s="75" t="s">
        <v>132</v>
      </c>
      <c r="E769" s="75" t="s">
        <v>133</v>
      </c>
      <c r="F769" s="75" t="s">
        <v>134</v>
      </c>
      <c r="G769" s="75" t="s">
        <v>135</v>
      </c>
      <c r="H769" s="75" t="s">
        <v>136</v>
      </c>
      <c r="I769" s="75" t="s">
        <v>137</v>
      </c>
      <c r="J769" s="75" t="s">
        <v>138</v>
      </c>
      <c r="K769" s="75" t="s">
        <v>139</v>
      </c>
      <c r="L769" s="75" t="s">
        <v>140</v>
      </c>
      <c r="M769" s="75" t="s">
        <v>141</v>
      </c>
      <c r="N769" s="75" t="s">
        <v>142</v>
      </c>
      <c r="O769" s="75" t="s">
        <v>143</v>
      </c>
      <c r="P769" s="30"/>
    </row>
    <row r="770" spans="1:16" x14ac:dyDescent="0.25">
      <c r="A770" s="272" t="s">
        <v>385</v>
      </c>
      <c r="B770" s="2" t="s">
        <v>770</v>
      </c>
      <c r="C770" s="2" t="s">
        <v>233</v>
      </c>
      <c r="D770" s="25">
        <f>D761/D$758</f>
        <v>4.1855276885148509</v>
      </c>
      <c r="E770" s="25">
        <f>E761/E$758</f>
        <v>4.1855276885148509</v>
      </c>
      <c r="F770" s="25">
        <f t="shared" ref="F770:O770" si="316">F761/F$758</f>
        <v>3.6514032835035217</v>
      </c>
      <c r="G770" s="25">
        <f t="shared" si="316"/>
        <v>3.3257773002828981</v>
      </c>
      <c r="H770" s="25">
        <f t="shared" si="316"/>
        <v>3.0814748949816013</v>
      </c>
      <c r="I770" s="25">
        <f t="shared" si="316"/>
        <v>2.920058445098197</v>
      </c>
      <c r="J770" s="25">
        <f t="shared" si="316"/>
        <v>2.8258956833222908</v>
      </c>
      <c r="K770" s="25">
        <f t="shared" si="316"/>
        <v>2.7609737306754898</v>
      </c>
      <c r="L770" s="25">
        <f t="shared" si="316"/>
        <v>2.7537619802056197</v>
      </c>
      <c r="M770" s="25">
        <f t="shared" si="316"/>
        <v>2.7560311255805652</v>
      </c>
      <c r="N770" s="25">
        <f t="shared" si="316"/>
        <v>2.9671507583476515</v>
      </c>
      <c r="O770" s="25">
        <f t="shared" si="316"/>
        <v>3.1260844140682664</v>
      </c>
      <c r="P770" s="30"/>
    </row>
    <row r="771" spans="1:16" x14ac:dyDescent="0.25">
      <c r="A771" s="272" t="s">
        <v>386</v>
      </c>
      <c r="B771" s="2"/>
      <c r="C771" s="2" t="s">
        <v>234</v>
      </c>
      <c r="D771" s="25">
        <f t="shared" ref="D771:O771" si="317">D762/D$758</f>
        <v>0.66593743462982391</v>
      </c>
      <c r="E771" s="25">
        <f t="shared" si="317"/>
        <v>0.66593743462982391</v>
      </c>
      <c r="F771" s="25">
        <f t="shared" si="317"/>
        <v>0.59423443857574021</v>
      </c>
      <c r="G771" s="25">
        <f t="shared" si="317"/>
        <v>0.54593640618620709</v>
      </c>
      <c r="H771" s="25">
        <f t="shared" si="317"/>
        <v>0.50962364357645595</v>
      </c>
      <c r="I771" s="25">
        <f t="shared" si="317"/>
        <v>0.4845404984225703</v>
      </c>
      <c r="J771" s="25">
        <f t="shared" si="317"/>
        <v>0.46830958338655393</v>
      </c>
      <c r="K771" s="25">
        <f t="shared" si="317"/>
        <v>0.45705378563004001</v>
      </c>
      <c r="L771" s="25">
        <f t="shared" si="317"/>
        <v>0.45490208579937425</v>
      </c>
      <c r="M771" s="25">
        <f t="shared" si="317"/>
        <v>0.45505367215955694</v>
      </c>
      <c r="N771" s="25">
        <f t="shared" si="317"/>
        <v>0.48578255475876098</v>
      </c>
      <c r="O771" s="25">
        <f t="shared" si="317"/>
        <v>0.5089156645680657</v>
      </c>
      <c r="P771" s="30"/>
    </row>
    <row r="772" spans="1:16" x14ac:dyDescent="0.25">
      <c r="A772" s="272" t="s">
        <v>387</v>
      </c>
      <c r="B772" s="2"/>
      <c r="C772" s="2" t="s">
        <v>235</v>
      </c>
      <c r="D772" s="25">
        <f t="shared" ref="D772:O772" si="318">D763/D$758</f>
        <v>2.9783246223886839</v>
      </c>
      <c r="E772" s="25">
        <f t="shared" si="318"/>
        <v>2.9783246223886839</v>
      </c>
      <c r="F772" s="25">
        <f t="shared" si="318"/>
        <v>2.8655641212033731</v>
      </c>
      <c r="G772" s="25">
        <f t="shared" si="318"/>
        <v>2.7181965581912606</v>
      </c>
      <c r="H772" s="25">
        <f t="shared" si="318"/>
        <v>2.6060560296022826</v>
      </c>
      <c r="I772" s="25">
        <f t="shared" si="318"/>
        <v>2.5197519762628304</v>
      </c>
      <c r="J772" s="25">
        <f t="shared" si="318"/>
        <v>2.441907436576658</v>
      </c>
      <c r="K772" s="25">
        <f t="shared" si="318"/>
        <v>2.3878639722915147</v>
      </c>
      <c r="L772" s="25">
        <f t="shared" si="318"/>
        <v>2.379494524260779</v>
      </c>
      <c r="M772" s="25">
        <f t="shared" si="318"/>
        <v>2.3759022783803689</v>
      </c>
      <c r="N772" s="25">
        <f t="shared" si="318"/>
        <v>2.4632400374025676</v>
      </c>
      <c r="O772" s="25">
        <f t="shared" si="318"/>
        <v>2.5289890591392528</v>
      </c>
      <c r="P772" s="30"/>
    </row>
    <row r="773" spans="1:16" x14ac:dyDescent="0.25">
      <c r="A773" s="272"/>
      <c r="B773" s="2"/>
      <c r="C773" s="2"/>
      <c r="D773" s="2"/>
      <c r="E773" s="2"/>
      <c r="F773" s="2"/>
      <c r="G773" s="2"/>
      <c r="H773" s="2"/>
      <c r="I773" s="2"/>
      <c r="J773" s="2"/>
      <c r="K773" s="2"/>
      <c r="L773" s="2"/>
      <c r="M773" s="2"/>
      <c r="N773" s="2"/>
      <c r="O773" s="2"/>
      <c r="P773" s="30"/>
    </row>
    <row r="774" spans="1:16" x14ac:dyDescent="0.25">
      <c r="A774" s="272" t="s">
        <v>253</v>
      </c>
      <c r="B774" s="2"/>
      <c r="C774" s="2" t="s">
        <v>275</v>
      </c>
      <c r="D774" s="25">
        <f>D765/D$759</f>
        <v>5.6590028534196346</v>
      </c>
      <c r="E774" s="25">
        <f t="shared" ref="E774:O774" si="319">E765/E$759</f>
        <v>5.6590028534196346</v>
      </c>
      <c r="F774" s="25">
        <f t="shared" si="319"/>
        <v>5.591589493686536</v>
      </c>
      <c r="G774" s="25">
        <f t="shared" si="319"/>
        <v>5.4871762633892009</v>
      </c>
      <c r="H774" s="25">
        <f t="shared" si="319"/>
        <v>5.4871762633892009</v>
      </c>
      <c r="I774" s="25">
        <f t="shared" si="319"/>
        <v>5.4871762633892009</v>
      </c>
      <c r="J774" s="25">
        <f t="shared" si="319"/>
        <v>5.4871762633892009</v>
      </c>
      <c r="K774" s="25">
        <f t="shared" si="319"/>
        <v>5.4871762633892009</v>
      </c>
      <c r="L774" s="25">
        <f t="shared" si="319"/>
        <v>5.4871762633892009</v>
      </c>
      <c r="M774" s="25">
        <f t="shared" si="319"/>
        <v>5.5566971517141281</v>
      </c>
      <c r="N774" s="25">
        <f t="shared" si="319"/>
        <v>5.613520160892949</v>
      </c>
      <c r="O774" s="25">
        <f t="shared" si="319"/>
        <v>5.6608330430125537</v>
      </c>
      <c r="P774" s="30"/>
    </row>
    <row r="775" spans="1:16" x14ac:dyDescent="0.25">
      <c r="A775" s="272" t="s">
        <v>254</v>
      </c>
      <c r="B775" s="2"/>
      <c r="C775" s="2" t="s">
        <v>276</v>
      </c>
      <c r="D775" s="25">
        <f t="shared" ref="D775:O776" si="320">D766/D$759</f>
        <v>1.2819577425386552</v>
      </c>
      <c r="E775" s="25">
        <f t="shared" si="320"/>
        <v>1.2819577425386552</v>
      </c>
      <c r="F775" s="25">
        <f t="shared" si="320"/>
        <v>1.2683881192052981</v>
      </c>
      <c r="G775" s="25">
        <f t="shared" si="320"/>
        <v>1.2490992141527002</v>
      </c>
      <c r="H775" s="25">
        <f t="shared" si="320"/>
        <v>1.2490992141527002</v>
      </c>
      <c r="I775" s="25">
        <f t="shared" si="320"/>
        <v>1.2490992141527002</v>
      </c>
      <c r="J775" s="25">
        <f t="shared" si="320"/>
        <v>1.2490992141527002</v>
      </c>
      <c r="K775" s="25">
        <f t="shared" si="320"/>
        <v>1.2490992141527002</v>
      </c>
      <c r="L775" s="25">
        <f t="shared" si="320"/>
        <v>1.2490992141527002</v>
      </c>
      <c r="M775" s="25">
        <f t="shared" si="320"/>
        <v>1.2613646458217012</v>
      </c>
      <c r="N775" s="25">
        <f t="shared" si="320"/>
        <v>1.271389815998647</v>
      </c>
      <c r="O775" s="25">
        <f t="shared" si="320"/>
        <v>1.2797371334263132</v>
      </c>
      <c r="P775" s="30"/>
    </row>
    <row r="776" spans="1:16" x14ac:dyDescent="0.25">
      <c r="A776" s="272" t="s">
        <v>255</v>
      </c>
      <c r="B776" s="2"/>
      <c r="C776" s="2" t="s">
        <v>277</v>
      </c>
      <c r="D776" s="25">
        <f t="shared" si="320"/>
        <v>6.8444658262728524</v>
      </c>
      <c r="E776" s="25">
        <f t="shared" si="320"/>
        <v>6.8444658262728524</v>
      </c>
      <c r="F776" s="25">
        <f t="shared" si="320"/>
        <v>6.7609988771981371</v>
      </c>
      <c r="G776" s="25">
        <f t="shared" si="320"/>
        <v>6.6415615357071811</v>
      </c>
      <c r="H776" s="25">
        <f t="shared" si="320"/>
        <v>6.6415615357071811</v>
      </c>
      <c r="I776" s="25">
        <f t="shared" si="320"/>
        <v>6.6415615357071811</v>
      </c>
      <c r="J776" s="25">
        <f t="shared" si="320"/>
        <v>6.6415615357071811</v>
      </c>
      <c r="K776" s="25">
        <f t="shared" si="320"/>
        <v>6.6415615357071811</v>
      </c>
      <c r="L776" s="25">
        <f t="shared" si="320"/>
        <v>6.6415615357071811</v>
      </c>
      <c r="M776" s="25">
        <f t="shared" si="320"/>
        <v>6.7177973909936357</v>
      </c>
      <c r="N776" s="25">
        <f t="shared" si="320"/>
        <v>6.7801088891501449</v>
      </c>
      <c r="O776" s="25">
        <f t="shared" si="320"/>
        <v>6.8319916846863169</v>
      </c>
      <c r="P776" s="30"/>
    </row>
    <row r="777" spans="1:16" x14ac:dyDescent="0.25">
      <c r="P777" s="30"/>
    </row>
    <row r="778" spans="1:16" x14ac:dyDescent="0.25">
      <c r="P778" s="30"/>
    </row>
    <row r="779" spans="1:16" x14ac:dyDescent="0.25">
      <c r="P779" s="30"/>
    </row>
    <row r="780" spans="1:16" x14ac:dyDescent="0.25">
      <c r="P780" s="30"/>
    </row>
    <row r="781" spans="1:16" x14ac:dyDescent="0.25">
      <c r="P781" s="30"/>
    </row>
    <row r="782" spans="1:16" x14ac:dyDescent="0.25">
      <c r="P782" s="30"/>
    </row>
    <row r="783" spans="1:16" x14ac:dyDescent="0.25">
      <c r="P783" s="30"/>
    </row>
    <row r="784" spans="1:16" x14ac:dyDescent="0.25">
      <c r="P784" s="30"/>
    </row>
    <row r="785" spans="16:16" x14ac:dyDescent="0.25">
      <c r="P785" s="30"/>
    </row>
    <row r="786" spans="16:16" x14ac:dyDescent="0.25">
      <c r="P786" s="30"/>
    </row>
    <row r="787" spans="16:16" x14ac:dyDescent="0.25">
      <c r="P787" s="30"/>
    </row>
    <row r="788" spans="16:16" x14ac:dyDescent="0.25">
      <c r="P788" s="30"/>
    </row>
    <row r="789" spans="16:16" x14ac:dyDescent="0.25">
      <c r="P789" s="30"/>
    </row>
    <row r="790" spans="16:16" x14ac:dyDescent="0.25">
      <c r="P790" s="30"/>
    </row>
    <row r="791" spans="16:16" x14ac:dyDescent="0.25">
      <c r="P791" s="30"/>
    </row>
    <row r="792" spans="16:16" x14ac:dyDescent="0.25">
      <c r="P792" s="30"/>
    </row>
    <row r="793" spans="16:16" x14ac:dyDescent="0.25">
      <c r="P793" s="30"/>
    </row>
    <row r="794" spans="16:16" x14ac:dyDescent="0.25">
      <c r="P794" s="30"/>
    </row>
    <row r="795" spans="16:16" x14ac:dyDescent="0.25">
      <c r="P795" s="30"/>
    </row>
    <row r="796" spans="16:16" x14ac:dyDescent="0.25">
      <c r="P796" s="30"/>
    </row>
    <row r="797" spans="16:16" x14ac:dyDescent="0.25">
      <c r="P797" s="30"/>
    </row>
    <row r="798" spans="16:16" x14ac:dyDescent="0.25">
      <c r="P798" s="30"/>
    </row>
    <row r="799" spans="16:16" x14ac:dyDescent="0.25">
      <c r="P799" s="30"/>
    </row>
    <row r="800" spans="16:16" x14ac:dyDescent="0.25">
      <c r="P800" s="30"/>
    </row>
    <row r="801" spans="16:16" x14ac:dyDescent="0.25">
      <c r="P801" s="30"/>
    </row>
    <row r="802" spans="16:16" x14ac:dyDescent="0.25">
      <c r="P802" s="30"/>
    </row>
    <row r="803" spans="16:16" x14ac:dyDescent="0.25">
      <c r="P803" s="30"/>
    </row>
    <row r="804" spans="16:16" x14ac:dyDescent="0.25">
      <c r="P804" s="30"/>
    </row>
    <row r="805" spans="16:16" x14ac:dyDescent="0.25">
      <c r="P805" s="30"/>
    </row>
    <row r="806" spans="16:16" x14ac:dyDescent="0.25">
      <c r="P806" s="30"/>
    </row>
    <row r="807" spans="16:16" x14ac:dyDescent="0.25">
      <c r="P807" s="30"/>
    </row>
    <row r="808" spans="16:16" x14ac:dyDescent="0.25">
      <c r="P808" s="30"/>
    </row>
    <row r="809" spans="16:16" x14ac:dyDescent="0.25">
      <c r="P809" s="30"/>
    </row>
    <row r="810" spans="16:16" x14ac:dyDescent="0.25">
      <c r="P810" s="30"/>
    </row>
    <row r="811" spans="16:16" x14ac:dyDescent="0.25">
      <c r="P811" s="30"/>
    </row>
    <row r="812" spans="16:16" x14ac:dyDescent="0.25">
      <c r="P812" s="30"/>
    </row>
    <row r="813" spans="16:16" x14ac:dyDescent="0.25">
      <c r="P813" s="30"/>
    </row>
    <row r="814" spans="16:16" x14ac:dyDescent="0.25">
      <c r="P814" s="30"/>
    </row>
    <row r="815" spans="16:16" x14ac:dyDescent="0.25">
      <c r="P815" s="30"/>
    </row>
    <row r="816" spans="16:16" x14ac:dyDescent="0.25">
      <c r="P816" s="30"/>
    </row>
    <row r="817" spans="16:16" x14ac:dyDescent="0.25">
      <c r="P817" s="30"/>
    </row>
    <row r="818" spans="16:16" x14ac:dyDescent="0.25">
      <c r="P818" s="30"/>
    </row>
    <row r="819" spans="16:16" x14ac:dyDescent="0.25">
      <c r="P819" s="30"/>
    </row>
    <row r="820" spans="16:16" x14ac:dyDescent="0.25">
      <c r="P820" s="30"/>
    </row>
    <row r="821" spans="16:16" x14ac:dyDescent="0.25">
      <c r="P821" s="30"/>
    </row>
    <row r="822" spans="16:16" x14ac:dyDescent="0.25">
      <c r="P822" s="30"/>
    </row>
    <row r="823" spans="16:16" x14ac:dyDescent="0.25">
      <c r="P823" s="30"/>
    </row>
    <row r="824" spans="16:16" x14ac:dyDescent="0.25">
      <c r="P824" s="30"/>
    </row>
    <row r="825" spans="16:16" x14ac:dyDescent="0.25">
      <c r="P825" s="30"/>
    </row>
    <row r="826" spans="16:16" x14ac:dyDescent="0.25">
      <c r="P826" s="30"/>
    </row>
    <row r="827" spans="16:16" x14ac:dyDescent="0.25">
      <c r="P827" s="30"/>
    </row>
    <row r="828" spans="16:16" x14ac:dyDescent="0.25">
      <c r="P828" s="30"/>
    </row>
    <row r="829" spans="16:16" x14ac:dyDescent="0.25">
      <c r="P829" s="30"/>
    </row>
    <row r="830" spans="16:16" x14ac:dyDescent="0.25">
      <c r="P830" s="30"/>
    </row>
    <row r="831" spans="16:16" x14ac:dyDescent="0.25">
      <c r="P831" s="30"/>
    </row>
    <row r="832" spans="16:16" x14ac:dyDescent="0.25">
      <c r="P832" s="30"/>
    </row>
    <row r="833" spans="16:16" x14ac:dyDescent="0.25">
      <c r="P833" s="30"/>
    </row>
    <row r="834" spans="16:16" x14ac:dyDescent="0.25">
      <c r="P834" s="30"/>
    </row>
    <row r="835" spans="16:16" x14ac:dyDescent="0.25">
      <c r="P835" s="30"/>
    </row>
    <row r="836" spans="16:16" x14ac:dyDescent="0.25">
      <c r="P836" s="30"/>
    </row>
    <row r="837" spans="16:16" x14ac:dyDescent="0.25">
      <c r="P837" s="30"/>
    </row>
    <row r="838" spans="16:16" x14ac:dyDescent="0.25">
      <c r="P838" s="30"/>
    </row>
    <row r="839" spans="16:16" x14ac:dyDescent="0.25">
      <c r="P839" s="30"/>
    </row>
    <row r="840" spans="16:16" x14ac:dyDescent="0.25">
      <c r="P840" s="30"/>
    </row>
    <row r="841" spans="16:16" x14ac:dyDescent="0.25">
      <c r="P841" s="30"/>
    </row>
    <row r="842" spans="16:16" x14ac:dyDescent="0.25">
      <c r="P842" s="30"/>
    </row>
    <row r="843" spans="16:16" x14ac:dyDescent="0.25">
      <c r="P843" s="30"/>
    </row>
    <row r="844" spans="16:16" x14ac:dyDescent="0.25">
      <c r="P844" s="30"/>
    </row>
    <row r="845" spans="16:16" x14ac:dyDescent="0.25">
      <c r="P845" s="30"/>
    </row>
    <row r="846" spans="16:16" x14ac:dyDescent="0.25">
      <c r="P846" s="30"/>
    </row>
    <row r="847" spans="16:16" x14ac:dyDescent="0.25">
      <c r="P847" s="30"/>
    </row>
    <row r="848" spans="16:16" x14ac:dyDescent="0.25">
      <c r="P848" s="30"/>
    </row>
    <row r="849" spans="16:16" x14ac:dyDescent="0.25">
      <c r="P849" s="30"/>
    </row>
    <row r="850" spans="16:16" x14ac:dyDescent="0.25">
      <c r="P850" s="30"/>
    </row>
    <row r="851" spans="16:16" x14ac:dyDescent="0.25">
      <c r="P851" s="30"/>
    </row>
    <row r="852" spans="16:16" x14ac:dyDescent="0.25">
      <c r="P852" s="30"/>
    </row>
    <row r="853" spans="16:16" x14ac:dyDescent="0.25">
      <c r="P853" s="30"/>
    </row>
  </sheetData>
  <sheetProtection password="F7E5" sheet="1" objects="1" scenarios="1"/>
  <mergeCells count="8">
    <mergeCell ref="U751:V751"/>
    <mergeCell ref="E749:M749"/>
    <mergeCell ref="N749:T749"/>
    <mergeCell ref="E751:G751"/>
    <mergeCell ref="H751:K751"/>
    <mergeCell ref="L751:M751"/>
    <mergeCell ref="N751:P751"/>
    <mergeCell ref="Q751:T751"/>
  </mergeCells>
  <conditionalFormatting sqref="D12:O12">
    <cfRule type="dataBar" priority="48">
      <dataBar>
        <cfvo type="min"/>
        <cfvo type="max"/>
        <color rgb="FF63C384"/>
      </dataBar>
    </cfRule>
  </conditionalFormatting>
  <conditionalFormatting sqref="D18:O18">
    <cfRule type="dataBar" priority="47">
      <dataBar>
        <cfvo type="min"/>
        <cfvo type="max"/>
        <color rgb="FFFFB628"/>
      </dataBar>
    </cfRule>
  </conditionalFormatting>
  <conditionalFormatting sqref="D24:O24">
    <cfRule type="dataBar" priority="46">
      <dataBar>
        <cfvo type="min"/>
        <cfvo type="max"/>
        <color rgb="FF638EC6"/>
      </dataBar>
    </cfRule>
  </conditionalFormatting>
  <conditionalFormatting sqref="D31:O32">
    <cfRule type="dataBar" priority="45">
      <dataBar>
        <cfvo type="min"/>
        <cfvo type="max"/>
        <color rgb="FFFF555A"/>
      </dataBar>
    </cfRule>
  </conditionalFormatting>
  <conditionalFormatting sqref="D26:O26">
    <cfRule type="dataBar" priority="44">
      <dataBar>
        <cfvo type="min"/>
        <cfvo type="max"/>
        <color rgb="FFFF555A"/>
      </dataBar>
    </cfRule>
  </conditionalFormatting>
  <conditionalFormatting sqref="D40:O40">
    <cfRule type="dataBar" priority="41">
      <dataBar>
        <cfvo type="min"/>
        <cfvo type="max"/>
        <color rgb="FF008AEF"/>
      </dataBar>
    </cfRule>
  </conditionalFormatting>
  <conditionalFormatting sqref="D113:O119">
    <cfRule type="cellIs" dxfId="5" priority="38" operator="between">
      <formula>6</formula>
      <formula>9</formula>
    </cfRule>
    <cfRule type="cellIs" dxfId="4" priority="39" operator="between">
      <formula>6</formula>
      <formula>9</formula>
    </cfRule>
    <cfRule type="cellIs" dxfId="3" priority="40" operator="between">
      <formula>6</formula>
      <formula>9</formula>
    </cfRule>
  </conditionalFormatting>
  <conditionalFormatting sqref="D113:D119 E114:O118">
    <cfRule type="cellIs" dxfId="2" priority="37" operator="between">
      <formula>6</formula>
      <formula>9</formula>
    </cfRule>
  </conditionalFormatting>
  <conditionalFormatting sqref="D115:O115">
    <cfRule type="dataBar" priority="36">
      <dataBar>
        <cfvo type="min"/>
        <cfvo type="max"/>
        <color rgb="FF008AEF"/>
      </dataBar>
    </cfRule>
  </conditionalFormatting>
  <conditionalFormatting sqref="D105:O105">
    <cfRule type="dataBar" priority="35">
      <dataBar>
        <cfvo type="min"/>
        <cfvo type="max"/>
        <color rgb="FF63C384"/>
      </dataBar>
    </cfRule>
  </conditionalFormatting>
  <conditionalFormatting sqref="D106:O106">
    <cfRule type="dataBar" priority="34">
      <dataBar>
        <cfvo type="min"/>
        <cfvo type="max"/>
        <color rgb="FFFFB628"/>
      </dataBar>
    </cfRule>
  </conditionalFormatting>
  <conditionalFormatting sqref="D107:O107">
    <cfRule type="dataBar" priority="33">
      <dataBar>
        <cfvo type="min"/>
        <cfvo type="max"/>
        <color rgb="FF638EC6"/>
      </dataBar>
    </cfRule>
  </conditionalFormatting>
  <conditionalFormatting sqref="D112:O112">
    <cfRule type="cellIs" dxfId="1" priority="32" operator="between">
      <formula>6</formula>
      <formula>10</formula>
    </cfRule>
  </conditionalFormatting>
  <conditionalFormatting sqref="D188:O188">
    <cfRule type="dataBar" priority="31">
      <dataBar>
        <cfvo type="min"/>
        <cfvo type="max"/>
        <color rgb="FF63C384"/>
      </dataBar>
    </cfRule>
  </conditionalFormatting>
  <conditionalFormatting sqref="D189:O189">
    <cfRule type="dataBar" priority="30">
      <dataBar>
        <cfvo type="min"/>
        <cfvo type="max"/>
        <color rgb="FFFFB628"/>
      </dataBar>
    </cfRule>
  </conditionalFormatting>
  <conditionalFormatting sqref="D190:O190">
    <cfRule type="dataBar" priority="29">
      <dataBar>
        <cfvo type="min"/>
        <cfvo type="max"/>
        <color rgb="FF638EC6"/>
      </dataBar>
    </cfRule>
  </conditionalFormatting>
  <conditionalFormatting sqref="D195:O195">
    <cfRule type="cellIs" dxfId="0" priority="28" operator="between">
      <formula>3</formula>
      <formula>8</formula>
    </cfRule>
  </conditionalFormatting>
  <conditionalFormatting sqref="D198:O198">
    <cfRule type="dataBar" priority="27">
      <dataBar>
        <cfvo type="min"/>
        <cfvo type="max"/>
        <color rgb="FF008AEF"/>
      </dataBar>
    </cfRule>
  </conditionalFormatting>
  <conditionalFormatting sqref="D269:O269">
    <cfRule type="dataBar" priority="26">
      <dataBar>
        <cfvo type="min"/>
        <cfvo type="max"/>
        <color rgb="FF63C384"/>
      </dataBar>
    </cfRule>
  </conditionalFormatting>
  <conditionalFormatting sqref="D270:O270">
    <cfRule type="dataBar" priority="25">
      <dataBar>
        <cfvo type="min"/>
        <cfvo type="max"/>
        <color rgb="FFFFB628"/>
      </dataBar>
    </cfRule>
  </conditionalFormatting>
  <conditionalFormatting sqref="D271:O271">
    <cfRule type="dataBar" priority="24">
      <dataBar>
        <cfvo type="min"/>
        <cfvo type="max"/>
        <color rgb="FF638EC6"/>
      </dataBar>
    </cfRule>
  </conditionalFormatting>
  <conditionalFormatting sqref="D279:O279">
    <cfRule type="dataBar" priority="23">
      <dataBar>
        <cfvo type="min"/>
        <cfvo type="max"/>
        <color rgb="FF008AEF"/>
      </dataBar>
    </cfRule>
  </conditionalFormatting>
  <conditionalFormatting sqref="D350:O350">
    <cfRule type="dataBar" priority="22">
      <dataBar>
        <cfvo type="min"/>
        <cfvo type="max"/>
        <color rgb="FF63C384"/>
      </dataBar>
    </cfRule>
  </conditionalFormatting>
  <conditionalFormatting sqref="D351:O351">
    <cfRule type="dataBar" priority="21">
      <dataBar>
        <cfvo type="min"/>
        <cfvo type="max"/>
        <color rgb="FFFFB628"/>
      </dataBar>
    </cfRule>
  </conditionalFormatting>
  <conditionalFormatting sqref="D352:O352">
    <cfRule type="dataBar" priority="20">
      <dataBar>
        <cfvo type="min"/>
        <cfvo type="max"/>
        <color rgb="FF638EC6"/>
      </dataBar>
    </cfRule>
  </conditionalFormatting>
  <conditionalFormatting sqref="D360:O360">
    <cfRule type="dataBar" priority="19">
      <dataBar>
        <cfvo type="min"/>
        <cfvo type="max"/>
        <color rgb="FF008AEF"/>
      </dataBar>
    </cfRule>
  </conditionalFormatting>
  <conditionalFormatting sqref="D430:O430">
    <cfRule type="dataBar" priority="18">
      <dataBar>
        <cfvo type="min"/>
        <cfvo type="max"/>
        <color rgb="FF63C384"/>
      </dataBar>
    </cfRule>
  </conditionalFormatting>
  <conditionalFormatting sqref="D431:O431">
    <cfRule type="dataBar" priority="17">
      <dataBar>
        <cfvo type="min"/>
        <cfvo type="max"/>
        <color rgb="FFFFB628"/>
      </dataBar>
    </cfRule>
  </conditionalFormatting>
  <conditionalFormatting sqref="D432:O432">
    <cfRule type="dataBar" priority="16">
      <dataBar>
        <cfvo type="min"/>
        <cfvo type="max"/>
        <color rgb="FF638EC6"/>
      </dataBar>
    </cfRule>
  </conditionalFormatting>
  <conditionalFormatting sqref="D440:O440">
    <cfRule type="dataBar" priority="15">
      <dataBar>
        <cfvo type="min"/>
        <cfvo type="max"/>
        <color rgb="FF008AEF"/>
      </dataBar>
    </cfRule>
  </conditionalFormatting>
  <conditionalFormatting sqref="D510:O510">
    <cfRule type="dataBar" priority="14">
      <dataBar>
        <cfvo type="min"/>
        <cfvo type="max"/>
        <color rgb="FF63C384"/>
      </dataBar>
    </cfRule>
  </conditionalFormatting>
  <conditionalFormatting sqref="D511:O511">
    <cfRule type="dataBar" priority="13">
      <dataBar>
        <cfvo type="min"/>
        <cfvo type="max"/>
        <color rgb="FFFFB628"/>
      </dataBar>
    </cfRule>
  </conditionalFormatting>
  <conditionalFormatting sqref="D512:O512">
    <cfRule type="dataBar" priority="12">
      <dataBar>
        <cfvo type="min"/>
        <cfvo type="max"/>
        <color rgb="FF638EC6"/>
      </dataBar>
    </cfRule>
  </conditionalFormatting>
  <conditionalFormatting sqref="D520:O520">
    <cfRule type="dataBar" priority="11">
      <dataBar>
        <cfvo type="min"/>
        <cfvo type="max"/>
        <color rgb="FF008AEF"/>
      </dataBar>
    </cfRule>
  </conditionalFormatting>
  <conditionalFormatting sqref="D590:O590">
    <cfRule type="dataBar" priority="10">
      <dataBar>
        <cfvo type="min"/>
        <cfvo type="max"/>
        <color rgb="FF63C384"/>
      </dataBar>
    </cfRule>
  </conditionalFormatting>
  <conditionalFormatting sqref="D591:O591">
    <cfRule type="dataBar" priority="9">
      <dataBar>
        <cfvo type="min"/>
        <cfvo type="max"/>
        <color rgb="FFFFB628"/>
      </dataBar>
    </cfRule>
  </conditionalFormatting>
  <conditionalFormatting sqref="D592:O592">
    <cfRule type="dataBar" priority="8">
      <dataBar>
        <cfvo type="min"/>
        <cfvo type="max"/>
        <color rgb="FF638EC6"/>
      </dataBar>
    </cfRule>
  </conditionalFormatting>
  <conditionalFormatting sqref="D600:O600">
    <cfRule type="dataBar" priority="7">
      <dataBar>
        <cfvo type="min"/>
        <cfvo type="max"/>
        <color rgb="FF008AEF"/>
      </dataBar>
    </cfRule>
  </conditionalFormatting>
  <conditionalFormatting sqref="D770:O770">
    <cfRule type="dataBar" priority="6">
      <dataBar>
        <cfvo type="min"/>
        <cfvo type="max"/>
        <color rgb="FF63C384"/>
      </dataBar>
    </cfRule>
  </conditionalFormatting>
  <conditionalFormatting sqref="D774:O774">
    <cfRule type="dataBar" priority="5">
      <dataBar>
        <cfvo type="min"/>
        <cfvo type="max"/>
        <color rgb="FF63C384"/>
      </dataBar>
    </cfRule>
  </conditionalFormatting>
  <conditionalFormatting sqref="D771:O771">
    <cfRule type="dataBar" priority="4">
      <dataBar>
        <cfvo type="min"/>
        <cfvo type="max"/>
        <color rgb="FFFFB628"/>
      </dataBar>
    </cfRule>
  </conditionalFormatting>
  <conditionalFormatting sqref="D772:O772">
    <cfRule type="dataBar" priority="3">
      <dataBar>
        <cfvo type="min"/>
        <cfvo type="max"/>
        <color rgb="FFD6007B"/>
      </dataBar>
    </cfRule>
  </conditionalFormatting>
  <conditionalFormatting sqref="D775:O775">
    <cfRule type="dataBar" priority="2">
      <dataBar>
        <cfvo type="min"/>
        <cfvo type="max"/>
        <color rgb="FFFFB628"/>
      </dataBar>
    </cfRule>
  </conditionalFormatting>
  <conditionalFormatting sqref="D776:O776">
    <cfRule type="dataBar" priority="1">
      <dataBar>
        <cfvo type="min"/>
        <cfvo type="max"/>
        <color rgb="FFD6007B"/>
      </dataBar>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rgb="FF92D050"/>
  </sheetPr>
  <dimension ref="A1:O228"/>
  <sheetViews>
    <sheetView topLeftCell="A91" zoomScale="70" zoomScaleNormal="70" workbookViewId="0">
      <selection activeCell="E122" sqref="E122"/>
    </sheetView>
  </sheetViews>
  <sheetFormatPr baseColWidth="10" defaultRowHeight="15" x14ac:dyDescent="0.25"/>
  <cols>
    <col min="1" max="1" width="34.28515625" customWidth="1"/>
    <col min="2" max="2" width="26" customWidth="1"/>
    <col min="3" max="3" width="17.7109375" customWidth="1"/>
    <col min="4" max="4" width="15.42578125" customWidth="1"/>
    <col min="5" max="5" width="12.140625" customWidth="1"/>
    <col min="7" max="7" width="20.85546875" customWidth="1"/>
    <col min="8" max="8" width="25" customWidth="1"/>
    <col min="9" max="9" width="25.7109375" customWidth="1"/>
    <col min="10" max="10" width="20.42578125" customWidth="1"/>
    <col min="11" max="11" width="20.85546875" customWidth="1"/>
    <col min="12" max="12" width="20.5703125" customWidth="1"/>
    <col min="13" max="13" width="23.85546875" customWidth="1"/>
  </cols>
  <sheetData>
    <row r="1" spans="1:13" x14ac:dyDescent="0.25">
      <c r="I1" t="s">
        <v>351</v>
      </c>
    </row>
    <row r="3" spans="1:13" s="23" customFormat="1" x14ac:dyDescent="0.25">
      <c r="A3" s="23" t="s">
        <v>14</v>
      </c>
    </row>
    <row r="4" spans="1:13" s="12" customFormat="1" x14ac:dyDescent="0.25">
      <c r="A4" s="26"/>
      <c r="B4" s="26" t="s">
        <v>57</v>
      </c>
      <c r="C4" s="26" t="s">
        <v>128</v>
      </c>
      <c r="D4" s="26" t="s">
        <v>129</v>
      </c>
    </row>
    <row r="5" spans="1:13" x14ac:dyDescent="0.25">
      <c r="A5" s="2" t="s">
        <v>2</v>
      </c>
      <c r="B5" s="2">
        <v>1.05</v>
      </c>
      <c r="C5" s="2">
        <v>15</v>
      </c>
      <c r="D5" s="2">
        <f>10.8*2</f>
        <v>21.6</v>
      </c>
      <c r="L5" s="14" t="s">
        <v>91</v>
      </c>
      <c r="M5" s="14" t="s">
        <v>92</v>
      </c>
    </row>
    <row r="6" spans="1:13" x14ac:dyDescent="0.25">
      <c r="A6" s="2" t="s">
        <v>3</v>
      </c>
      <c r="B6" s="2">
        <v>0.85</v>
      </c>
      <c r="C6" s="2">
        <v>15</v>
      </c>
      <c r="D6" s="2">
        <f>7.8*2</f>
        <v>15.6</v>
      </c>
      <c r="L6" s="16" t="s">
        <v>93</v>
      </c>
      <c r="M6" s="2">
        <v>33</v>
      </c>
    </row>
    <row r="7" spans="1:13" x14ac:dyDescent="0.25">
      <c r="A7" s="2" t="s">
        <v>51</v>
      </c>
      <c r="B7" s="2">
        <v>0.3</v>
      </c>
      <c r="C7" s="2">
        <v>15</v>
      </c>
      <c r="D7" s="2">
        <f>D8*B120</f>
        <v>7.56</v>
      </c>
      <c r="I7" t="s">
        <v>28</v>
      </c>
      <c r="L7" s="16" t="s">
        <v>87</v>
      </c>
      <c r="M7" s="2">
        <v>23</v>
      </c>
    </row>
    <row r="8" spans="1:13" x14ac:dyDescent="0.25">
      <c r="A8" s="2" t="s">
        <v>52</v>
      </c>
      <c r="B8" s="2">
        <v>0.6</v>
      </c>
      <c r="C8" s="2">
        <v>15</v>
      </c>
      <c r="D8" s="2">
        <f>5.4*2</f>
        <v>10.8</v>
      </c>
      <c r="L8" s="16" t="s">
        <v>94</v>
      </c>
      <c r="M8" s="2">
        <v>13</v>
      </c>
    </row>
    <row r="9" spans="1:13" x14ac:dyDescent="0.25">
      <c r="A9" s="2" t="s">
        <v>53</v>
      </c>
      <c r="B9" s="2">
        <v>0.7</v>
      </c>
      <c r="C9" s="2">
        <v>15</v>
      </c>
      <c r="D9" s="2">
        <f>D8*B122</f>
        <v>12.96</v>
      </c>
      <c r="L9" s="16" t="s">
        <v>88</v>
      </c>
      <c r="M9" s="2">
        <v>15</v>
      </c>
    </row>
    <row r="10" spans="1:13" x14ac:dyDescent="0.25">
      <c r="A10" s="2" t="s">
        <v>54</v>
      </c>
      <c r="B10" s="2">
        <v>0.3</v>
      </c>
      <c r="C10" s="2">
        <v>15</v>
      </c>
      <c r="D10" s="2" t="s">
        <v>130</v>
      </c>
      <c r="L10" s="16" t="s">
        <v>95</v>
      </c>
      <c r="M10" s="2">
        <v>4</v>
      </c>
    </row>
    <row r="11" spans="1:13" x14ac:dyDescent="0.25">
      <c r="A11" s="2" t="s">
        <v>55</v>
      </c>
      <c r="B11" s="2">
        <v>0.6</v>
      </c>
      <c r="C11" s="2">
        <v>15</v>
      </c>
      <c r="D11" s="2" t="s">
        <v>130</v>
      </c>
      <c r="L11" s="16" t="s">
        <v>86</v>
      </c>
      <c r="M11" s="2">
        <v>0</v>
      </c>
    </row>
    <row r="12" spans="1:13" x14ac:dyDescent="0.25">
      <c r="A12" s="2" t="s">
        <v>56</v>
      </c>
      <c r="B12" s="2">
        <v>0.8</v>
      </c>
      <c r="C12" s="2">
        <v>15</v>
      </c>
      <c r="D12" s="2">
        <f>6*2</f>
        <v>12</v>
      </c>
    </row>
    <row r="17" spans="1:1" s="23" customFormat="1" x14ac:dyDescent="0.25">
      <c r="A17" s="23" t="s">
        <v>443</v>
      </c>
    </row>
    <row r="18" spans="1:1" x14ac:dyDescent="0.25">
      <c r="A18" t="s">
        <v>9</v>
      </c>
    </row>
    <row r="19" spans="1:1" x14ac:dyDescent="0.25">
      <c r="A19" t="s">
        <v>7</v>
      </c>
    </row>
    <row r="20" spans="1:1" x14ac:dyDescent="0.25">
      <c r="A20" t="s">
        <v>8</v>
      </c>
    </row>
    <row r="21" spans="1:1" x14ac:dyDescent="0.25">
      <c r="A21" t="s">
        <v>10</v>
      </c>
    </row>
    <row r="22" spans="1:1" x14ac:dyDescent="0.25">
      <c r="A22" t="s">
        <v>11</v>
      </c>
    </row>
    <row r="23" spans="1:1" x14ac:dyDescent="0.25">
      <c r="A23" t="s">
        <v>12</v>
      </c>
    </row>
    <row r="24" spans="1:1" x14ac:dyDescent="0.25">
      <c r="A24" t="s">
        <v>13</v>
      </c>
    </row>
    <row r="25" spans="1:1" x14ac:dyDescent="0.25">
      <c r="A25" t="s">
        <v>441</v>
      </c>
    </row>
    <row r="26" spans="1:1" s="24" customFormat="1" x14ac:dyDescent="0.25">
      <c r="A26" t="s">
        <v>442</v>
      </c>
    </row>
    <row r="33" spans="1:10" s="23" customFormat="1" x14ac:dyDescent="0.25">
      <c r="A33" s="23" t="s">
        <v>153</v>
      </c>
    </row>
    <row r="34" spans="1:10" x14ac:dyDescent="0.25">
      <c r="A34" s="2" t="s">
        <v>100</v>
      </c>
    </row>
    <row r="35" spans="1:10" x14ac:dyDescent="0.25">
      <c r="A35" s="2" t="s">
        <v>101</v>
      </c>
    </row>
    <row r="37" spans="1:10" s="1" customFormat="1" x14ac:dyDescent="0.25">
      <c r="A37" s="1" t="str">
        <f>A5</f>
        <v>Vache Laitière</v>
      </c>
    </row>
    <row r="39" spans="1:10" x14ac:dyDescent="0.25">
      <c r="A39" s="53"/>
      <c r="B39" s="53" t="s">
        <v>58</v>
      </c>
      <c r="C39" s="53" t="s">
        <v>59</v>
      </c>
      <c r="D39" s="53" t="s">
        <v>60</v>
      </c>
      <c r="E39" s="53" t="s">
        <v>61</v>
      </c>
      <c r="F39" s="53" t="s">
        <v>62</v>
      </c>
      <c r="G39" s="53" t="s">
        <v>63</v>
      </c>
      <c r="H39" s="53" t="s">
        <v>64</v>
      </c>
      <c r="I39" s="53" t="s">
        <v>65</v>
      </c>
      <c r="J39" s="53" t="s">
        <v>989</v>
      </c>
    </row>
    <row r="40" spans="1:10" x14ac:dyDescent="0.25">
      <c r="A40" s="54"/>
      <c r="B40" s="54" t="s">
        <v>66</v>
      </c>
      <c r="C40" s="54" t="s">
        <v>66</v>
      </c>
      <c r="D40" s="54" t="s">
        <v>66</v>
      </c>
      <c r="E40" s="54" t="s">
        <v>66</v>
      </c>
      <c r="F40" s="54" t="s">
        <v>66</v>
      </c>
      <c r="G40" s="54" t="s">
        <v>66</v>
      </c>
      <c r="H40" s="54" t="s">
        <v>66</v>
      </c>
      <c r="I40" s="54" t="s">
        <v>66</v>
      </c>
      <c r="J40" s="54"/>
    </row>
    <row r="41" spans="1:10" x14ac:dyDescent="0.25">
      <c r="A41" s="2" t="s">
        <v>67</v>
      </c>
      <c r="B41" s="10">
        <v>24</v>
      </c>
      <c r="C41" s="10">
        <v>3.7</v>
      </c>
      <c r="D41" s="10">
        <v>27</v>
      </c>
      <c r="E41" s="10"/>
      <c r="F41" s="10"/>
      <c r="G41" s="10">
        <v>0.89</v>
      </c>
      <c r="H41" s="294">
        <v>95</v>
      </c>
      <c r="I41" s="294">
        <v>108</v>
      </c>
      <c r="J41" s="294" t="s">
        <v>986</v>
      </c>
    </row>
    <row r="42" spans="1:10" x14ac:dyDescent="0.25">
      <c r="A42" s="2" t="s">
        <v>80</v>
      </c>
      <c r="B42" s="10">
        <f>(14.4+19.2)/2</f>
        <v>16.8</v>
      </c>
      <c r="C42" s="10">
        <v>3</v>
      </c>
      <c r="D42" s="10">
        <v>18</v>
      </c>
      <c r="E42" s="10"/>
      <c r="F42" s="10"/>
      <c r="G42" s="10">
        <f>(0.69+0.77)/2</f>
        <v>0.73</v>
      </c>
      <c r="H42" s="294">
        <f>(57+69)/2</f>
        <v>63</v>
      </c>
      <c r="I42" s="294">
        <f>(68+55)/2</f>
        <v>61.5</v>
      </c>
      <c r="J42" s="294" t="s">
        <v>987</v>
      </c>
    </row>
    <row r="43" spans="1:10" x14ac:dyDescent="0.25">
      <c r="A43" s="2" t="s">
        <v>70</v>
      </c>
      <c r="B43" s="294">
        <v>13.1</v>
      </c>
      <c r="C43" s="294">
        <v>2.5</v>
      </c>
      <c r="D43" s="294">
        <v>10</v>
      </c>
      <c r="E43" s="294"/>
      <c r="F43" s="294"/>
      <c r="G43" s="294">
        <v>0.9</v>
      </c>
      <c r="H43" s="294">
        <v>68</v>
      </c>
      <c r="I43" s="294">
        <v>50</v>
      </c>
      <c r="J43" s="294" t="s">
        <v>988</v>
      </c>
    </row>
    <row r="45" spans="1:10" x14ac:dyDescent="0.25">
      <c r="A45" s="53"/>
      <c r="B45" s="53" t="s">
        <v>58</v>
      </c>
      <c r="C45" s="53" t="s">
        <v>59</v>
      </c>
      <c r="D45" s="53" t="s">
        <v>60</v>
      </c>
      <c r="E45" s="53" t="s">
        <v>61</v>
      </c>
      <c r="F45" s="53" t="s">
        <v>62</v>
      </c>
      <c r="G45" s="53" t="s">
        <v>63</v>
      </c>
      <c r="H45" s="53" t="s">
        <v>64</v>
      </c>
      <c r="I45" s="53" t="s">
        <v>65</v>
      </c>
      <c r="J45" s="53" t="s">
        <v>989</v>
      </c>
    </row>
    <row r="46" spans="1:10" x14ac:dyDescent="0.25">
      <c r="A46" s="54"/>
      <c r="B46" s="54" t="s">
        <v>66</v>
      </c>
      <c r="C46" s="54" t="s">
        <v>66</v>
      </c>
      <c r="D46" s="54" t="s">
        <v>66</v>
      </c>
      <c r="E46" s="54" t="s">
        <v>66</v>
      </c>
      <c r="F46" s="54" t="s">
        <v>66</v>
      </c>
      <c r="G46" s="54" t="s">
        <v>66</v>
      </c>
      <c r="H46" s="54" t="s">
        <v>66</v>
      </c>
      <c r="I46" s="54" t="s">
        <v>66</v>
      </c>
      <c r="J46" s="54"/>
    </row>
    <row r="47" spans="1:10" x14ac:dyDescent="0.25">
      <c r="A47" s="2" t="s">
        <v>81</v>
      </c>
      <c r="B47" s="294">
        <v>18.399999999999999</v>
      </c>
      <c r="C47" s="294">
        <v>3.7</v>
      </c>
      <c r="D47" s="294">
        <v>4.0999999999999996</v>
      </c>
      <c r="E47" s="17"/>
      <c r="F47" s="294"/>
      <c r="G47" s="294">
        <v>1.1599999999999999</v>
      </c>
      <c r="H47" s="294">
        <v>100</v>
      </c>
      <c r="I47" s="294">
        <v>75</v>
      </c>
      <c r="J47" s="294" t="s">
        <v>990</v>
      </c>
    </row>
    <row r="48" spans="1:10" x14ac:dyDescent="0.25">
      <c r="A48" s="2" t="s">
        <v>82</v>
      </c>
      <c r="B48" s="294">
        <v>83.2</v>
      </c>
      <c r="C48" s="294">
        <v>7.8</v>
      </c>
      <c r="D48" s="294">
        <v>25</v>
      </c>
      <c r="E48" s="17"/>
      <c r="F48" s="294"/>
      <c r="G48" s="294">
        <v>1.1599999999999999</v>
      </c>
      <c r="H48" s="294">
        <v>250</v>
      </c>
      <c r="I48" s="294">
        <v>370</v>
      </c>
      <c r="J48" s="294" t="s">
        <v>990</v>
      </c>
    </row>
    <row r="51" spans="1:15" x14ac:dyDescent="0.25">
      <c r="A51" s="55" t="s">
        <v>75</v>
      </c>
      <c r="B51" s="55" t="s">
        <v>104</v>
      </c>
      <c r="C51" s="55" t="s">
        <v>1035</v>
      </c>
      <c r="J51" s="6"/>
      <c r="K51" s="6"/>
      <c r="L51" s="6"/>
      <c r="M51" s="6"/>
      <c r="N51" s="6"/>
      <c r="O51" s="6"/>
    </row>
    <row r="52" spans="1:15" x14ac:dyDescent="0.25">
      <c r="A52" s="15" t="s">
        <v>71</v>
      </c>
      <c r="B52" s="2">
        <v>0.75</v>
      </c>
      <c r="C52" s="294">
        <v>-0.25</v>
      </c>
      <c r="D52" s="291" t="s">
        <v>1037</v>
      </c>
      <c r="J52" s="1113"/>
      <c r="K52" s="231"/>
      <c r="L52" s="232"/>
      <c r="M52" s="1114"/>
      <c r="N52" s="1114"/>
      <c r="O52" s="6"/>
    </row>
    <row r="53" spans="1:15" x14ac:dyDescent="0.25">
      <c r="A53" s="15" t="s">
        <v>72</v>
      </c>
      <c r="B53" s="2">
        <v>0.85</v>
      </c>
      <c r="C53" s="294">
        <v>-0.15</v>
      </c>
      <c r="D53" s="291" t="s">
        <v>1037</v>
      </c>
      <c r="J53" s="1113"/>
      <c r="K53" s="231"/>
      <c r="L53" s="232"/>
      <c r="M53" s="1114"/>
      <c r="N53" s="1114"/>
      <c r="O53" s="6"/>
    </row>
    <row r="54" spans="1:15" x14ac:dyDescent="0.25">
      <c r="A54" s="15" t="s">
        <v>73</v>
      </c>
      <c r="B54" s="2">
        <v>1</v>
      </c>
      <c r="C54" s="294" t="s">
        <v>1036</v>
      </c>
      <c r="D54" s="291" t="s">
        <v>1037</v>
      </c>
      <c r="J54" s="231"/>
      <c r="K54" s="231"/>
      <c r="L54" s="232"/>
      <c r="M54" s="232"/>
      <c r="N54" s="232"/>
      <c r="O54" s="6"/>
    </row>
    <row r="55" spans="1:15" x14ac:dyDescent="0.25">
      <c r="A55" s="15" t="s">
        <v>74</v>
      </c>
      <c r="B55" s="2">
        <v>1.1000000000000001</v>
      </c>
      <c r="C55" s="294">
        <v>0.1</v>
      </c>
      <c r="D55" s="291" t="s">
        <v>1037</v>
      </c>
      <c r="J55" s="231"/>
      <c r="K55" s="231"/>
      <c r="L55" s="232"/>
      <c r="M55" s="232"/>
      <c r="N55" s="232"/>
      <c r="O55" s="6"/>
    </row>
    <row r="56" spans="1:15" x14ac:dyDescent="0.25">
      <c r="J56" s="231"/>
      <c r="K56" s="231"/>
      <c r="L56" s="232"/>
      <c r="M56" s="232"/>
      <c r="N56" s="232"/>
      <c r="O56" s="6"/>
    </row>
    <row r="57" spans="1:15" x14ac:dyDescent="0.25">
      <c r="A57" s="27" t="s">
        <v>76</v>
      </c>
      <c r="B57" s="2">
        <v>1.0329999999999999</v>
      </c>
      <c r="J57" s="231"/>
      <c r="K57" s="231"/>
      <c r="L57" s="232"/>
      <c r="M57" s="232"/>
      <c r="N57" s="232"/>
      <c r="O57" s="6"/>
    </row>
    <row r="58" spans="1:15" x14ac:dyDescent="0.25">
      <c r="A58" s="27" t="s">
        <v>77</v>
      </c>
      <c r="B58" s="2">
        <v>24</v>
      </c>
      <c r="C58" s="291" t="s">
        <v>1038</v>
      </c>
      <c r="J58" s="231"/>
      <c r="K58" s="231"/>
      <c r="L58" s="232"/>
      <c r="M58" s="232"/>
      <c r="N58" s="232"/>
      <c r="O58" s="6"/>
    </row>
    <row r="59" spans="1:15" x14ac:dyDescent="0.25">
      <c r="A59" s="27" t="s">
        <v>78</v>
      </c>
      <c r="B59" s="2">
        <v>2.29</v>
      </c>
      <c r="C59" s="291" t="s">
        <v>1038</v>
      </c>
      <c r="J59" s="231"/>
      <c r="K59" s="231"/>
      <c r="L59" s="232"/>
      <c r="M59" s="232"/>
      <c r="N59" s="232"/>
      <c r="O59" s="6"/>
    </row>
    <row r="60" spans="1:15" x14ac:dyDescent="0.25">
      <c r="A60" s="27" t="s">
        <v>79</v>
      </c>
      <c r="B60" s="2">
        <v>1.2</v>
      </c>
      <c r="C60" s="291" t="s">
        <v>1038</v>
      </c>
      <c r="J60" s="6"/>
      <c r="K60" s="6"/>
      <c r="L60" s="6"/>
      <c r="M60" s="6"/>
      <c r="N60" s="6"/>
      <c r="O60" s="6"/>
    </row>
    <row r="61" spans="1:15" x14ac:dyDescent="0.25">
      <c r="H61" s="294" t="s">
        <v>729</v>
      </c>
      <c r="I61" s="294" t="s">
        <v>730</v>
      </c>
      <c r="J61" s="294" t="s">
        <v>729</v>
      </c>
      <c r="K61" s="294" t="s">
        <v>730</v>
      </c>
      <c r="L61" s="294" t="s">
        <v>729</v>
      </c>
      <c r="M61" s="294" t="s">
        <v>730</v>
      </c>
    </row>
    <row r="62" spans="1:15" x14ac:dyDescent="0.25">
      <c r="A62" s="53"/>
      <c r="B62" s="53" t="s">
        <v>84</v>
      </c>
      <c r="C62" s="53" t="s">
        <v>83</v>
      </c>
      <c r="D62" s="53" t="s">
        <v>728</v>
      </c>
      <c r="E62" s="53" t="s">
        <v>85</v>
      </c>
      <c r="F62" s="53" t="s">
        <v>127</v>
      </c>
      <c r="G62" s="53" t="s">
        <v>727</v>
      </c>
      <c r="H62" s="53" t="s">
        <v>731</v>
      </c>
      <c r="I62" s="53" t="s">
        <v>731</v>
      </c>
      <c r="J62" s="53" t="s">
        <v>59</v>
      </c>
      <c r="K62" s="53" t="s">
        <v>59</v>
      </c>
      <c r="L62" s="53" t="s">
        <v>60</v>
      </c>
      <c r="M62" s="53" t="s">
        <v>60</v>
      </c>
      <c r="N62" s="275" t="s">
        <v>781</v>
      </c>
    </row>
    <row r="63" spans="1:15" x14ac:dyDescent="0.25">
      <c r="A63" s="2" t="s">
        <v>9</v>
      </c>
      <c r="B63" s="2">
        <v>1</v>
      </c>
      <c r="C63" s="2">
        <v>0</v>
      </c>
      <c r="D63" s="2">
        <v>0</v>
      </c>
      <c r="E63" s="8" t="s">
        <v>50</v>
      </c>
      <c r="F63" s="8">
        <v>1.03</v>
      </c>
      <c r="G63" s="2"/>
      <c r="H63" s="10"/>
      <c r="I63" s="2"/>
      <c r="J63" s="10"/>
      <c r="K63" s="294"/>
      <c r="L63" s="10"/>
      <c r="M63" s="294"/>
    </row>
    <row r="64" spans="1:15" x14ac:dyDescent="0.25">
      <c r="A64" s="2" t="s">
        <v>7</v>
      </c>
      <c r="B64" s="2">
        <v>1</v>
      </c>
      <c r="C64" s="2">
        <v>0</v>
      </c>
      <c r="D64" s="2">
        <v>0</v>
      </c>
      <c r="E64" s="8" t="s">
        <v>50</v>
      </c>
      <c r="F64" s="8">
        <v>1.03</v>
      </c>
      <c r="G64" s="2"/>
      <c r="H64" s="10"/>
      <c r="I64" s="2"/>
      <c r="J64" s="10"/>
      <c r="K64" s="294"/>
      <c r="L64" s="10"/>
      <c r="M64" s="294"/>
    </row>
    <row r="65" spans="1:14" x14ac:dyDescent="0.25">
      <c r="A65" s="2" t="s">
        <v>8</v>
      </c>
      <c r="B65" s="2">
        <v>0.6</v>
      </c>
      <c r="C65" s="2">
        <v>0.4</v>
      </c>
      <c r="D65" s="2">
        <v>0</v>
      </c>
      <c r="E65" s="8" t="s">
        <v>86</v>
      </c>
      <c r="F65" s="8">
        <v>0.6</v>
      </c>
      <c r="G65" s="10">
        <v>13.5</v>
      </c>
      <c r="H65" s="10">
        <v>0</v>
      </c>
      <c r="I65" s="10">
        <v>0.01</v>
      </c>
      <c r="J65" s="10">
        <f>H65-H65*0.1</f>
        <v>0</v>
      </c>
      <c r="K65" s="10">
        <f>I65-I65*0.1</f>
        <v>9.0000000000000011E-3</v>
      </c>
      <c r="L65" s="10">
        <f>H65+0.1*H65</f>
        <v>0</v>
      </c>
      <c r="M65" s="10">
        <f>I65+0.1*I65</f>
        <v>1.0999999999999999E-2</v>
      </c>
      <c r="N65">
        <v>22.1</v>
      </c>
    </row>
    <row r="66" spans="1:14" x14ac:dyDescent="0.25">
      <c r="A66" s="2" t="s">
        <v>10</v>
      </c>
      <c r="B66" s="2">
        <v>0.6</v>
      </c>
      <c r="C66" s="2">
        <v>0.4</v>
      </c>
      <c r="D66" s="2">
        <v>0.23</v>
      </c>
      <c r="E66" s="8" t="s">
        <v>87</v>
      </c>
      <c r="F66" s="8">
        <v>0.9</v>
      </c>
      <c r="G66" s="10">
        <v>16.75</v>
      </c>
      <c r="H66" s="10">
        <v>0.115</v>
      </c>
      <c r="I66" s="10">
        <v>0.125</v>
      </c>
      <c r="J66" s="10">
        <f t="shared" ref="J66:J71" si="0">H66-H66*0.1</f>
        <v>0.10350000000000001</v>
      </c>
      <c r="K66" s="10">
        <f t="shared" ref="K66:K71" si="1">I66-I66*0.1</f>
        <v>0.1125</v>
      </c>
      <c r="L66" s="10">
        <f t="shared" ref="L66:L71" si="2">H66+0.1*H66</f>
        <v>0.1265</v>
      </c>
      <c r="M66" s="10">
        <f t="shared" ref="M66:M71" si="3">I66+0.1*I66</f>
        <v>0.13750000000000001</v>
      </c>
      <c r="N66">
        <v>19</v>
      </c>
    </row>
    <row r="67" spans="1:14" x14ac:dyDescent="0.25">
      <c r="A67" s="2" t="s">
        <v>11</v>
      </c>
      <c r="B67" s="2">
        <v>0</v>
      </c>
      <c r="C67" s="2">
        <v>1</v>
      </c>
      <c r="D67" s="2">
        <v>0.15</v>
      </c>
      <c r="E67" s="8" t="s">
        <v>88</v>
      </c>
      <c r="F67" s="8">
        <v>0.75</v>
      </c>
      <c r="G67" s="10">
        <v>15</v>
      </c>
      <c r="H67" s="10">
        <v>8.5000000000000006E-2</v>
      </c>
      <c r="I67" s="10">
        <v>9.5000000000000001E-2</v>
      </c>
      <c r="J67" s="10">
        <f t="shared" si="0"/>
        <v>7.6500000000000012E-2</v>
      </c>
      <c r="K67" s="10">
        <f t="shared" si="1"/>
        <v>8.5499999999999993E-2</v>
      </c>
      <c r="L67" s="10">
        <f t="shared" si="2"/>
        <v>9.35E-2</v>
      </c>
      <c r="M67" s="10">
        <f t="shared" si="3"/>
        <v>0.10450000000000001</v>
      </c>
      <c r="N67">
        <v>18.5</v>
      </c>
    </row>
    <row r="68" spans="1:14" x14ac:dyDescent="0.25">
      <c r="A68" s="2" t="s">
        <v>12</v>
      </c>
      <c r="B68" s="2">
        <v>0</v>
      </c>
      <c r="C68" s="2">
        <v>1</v>
      </c>
      <c r="D68" s="2">
        <v>0.04</v>
      </c>
      <c r="E68" s="8" t="s">
        <v>89</v>
      </c>
      <c r="F68" s="8">
        <v>0.75</v>
      </c>
      <c r="G68" s="10">
        <v>15</v>
      </c>
      <c r="H68" s="10">
        <v>0.02</v>
      </c>
      <c r="I68" s="10">
        <v>0.03</v>
      </c>
      <c r="J68" s="10">
        <f t="shared" si="0"/>
        <v>1.8000000000000002E-2</v>
      </c>
      <c r="K68" s="10">
        <f t="shared" si="1"/>
        <v>2.7E-2</v>
      </c>
      <c r="L68" s="10">
        <f t="shared" si="2"/>
        <v>2.1999999999999999E-2</v>
      </c>
      <c r="M68" s="10">
        <f t="shared" si="3"/>
        <v>3.3000000000000002E-2</v>
      </c>
      <c r="N68">
        <v>18.2</v>
      </c>
    </row>
    <row r="69" spans="1:14" x14ac:dyDescent="0.25">
      <c r="A69" s="2" t="s">
        <v>13</v>
      </c>
      <c r="B69" s="2">
        <v>0</v>
      </c>
      <c r="C69" s="2">
        <v>1</v>
      </c>
      <c r="D69" s="2">
        <v>0.23</v>
      </c>
      <c r="E69" s="8" t="s">
        <v>87</v>
      </c>
      <c r="F69" s="8">
        <v>0.9</v>
      </c>
      <c r="G69" s="10">
        <v>16.75</v>
      </c>
      <c r="H69" s="10">
        <v>0.115</v>
      </c>
      <c r="I69" s="10">
        <v>0.125</v>
      </c>
      <c r="J69" s="10">
        <f t="shared" si="0"/>
        <v>0.10350000000000001</v>
      </c>
      <c r="K69" s="10">
        <f t="shared" si="1"/>
        <v>0.1125</v>
      </c>
      <c r="L69" s="10">
        <f t="shared" si="2"/>
        <v>0.1265</v>
      </c>
      <c r="M69" s="10">
        <f t="shared" si="3"/>
        <v>0.13750000000000001</v>
      </c>
      <c r="N69">
        <v>19</v>
      </c>
    </row>
    <row r="70" spans="1:14" x14ac:dyDescent="0.25">
      <c r="A70" s="2" t="s">
        <v>441</v>
      </c>
      <c r="B70" s="10">
        <v>0</v>
      </c>
      <c r="C70" s="10">
        <v>1</v>
      </c>
      <c r="D70" s="2">
        <v>0.04</v>
      </c>
      <c r="E70" s="95" t="s">
        <v>89</v>
      </c>
      <c r="F70" s="2">
        <v>0.75</v>
      </c>
      <c r="G70" s="10">
        <v>15</v>
      </c>
      <c r="H70" s="10">
        <v>0.02</v>
      </c>
      <c r="I70" s="10">
        <v>0.03</v>
      </c>
      <c r="J70" s="10">
        <f t="shared" si="0"/>
        <v>1.8000000000000002E-2</v>
      </c>
      <c r="K70" s="10">
        <f t="shared" si="1"/>
        <v>2.7E-2</v>
      </c>
      <c r="L70" s="10">
        <f t="shared" si="2"/>
        <v>2.1999999999999999E-2</v>
      </c>
      <c r="M70" s="10">
        <f t="shared" si="3"/>
        <v>3.3000000000000002E-2</v>
      </c>
      <c r="N70">
        <v>22.1</v>
      </c>
    </row>
    <row r="71" spans="1:14" x14ac:dyDescent="0.25">
      <c r="A71" s="2" t="s">
        <v>442</v>
      </c>
      <c r="B71" s="10">
        <v>0</v>
      </c>
      <c r="C71" s="10">
        <v>1</v>
      </c>
      <c r="D71" s="2">
        <v>0</v>
      </c>
      <c r="E71" s="2" t="s">
        <v>86</v>
      </c>
      <c r="F71" s="2">
        <v>0.6</v>
      </c>
      <c r="G71" s="10">
        <v>13.5</v>
      </c>
      <c r="H71" s="10">
        <v>0</v>
      </c>
      <c r="I71" s="10">
        <v>0.01</v>
      </c>
      <c r="J71" s="10">
        <f t="shared" si="0"/>
        <v>0</v>
      </c>
      <c r="K71" s="10">
        <f t="shared" si="1"/>
        <v>9.0000000000000011E-3</v>
      </c>
      <c r="L71" s="10">
        <f t="shared" si="2"/>
        <v>0</v>
      </c>
      <c r="M71" s="10">
        <f t="shared" si="3"/>
        <v>1.0999999999999999E-2</v>
      </c>
      <c r="N71">
        <v>22.1</v>
      </c>
    </row>
    <row r="72" spans="1:14" x14ac:dyDescent="0.25">
      <c r="B72" s="291" t="s">
        <v>1037</v>
      </c>
      <c r="C72" s="291" t="s">
        <v>1037</v>
      </c>
      <c r="D72" s="291" t="s">
        <v>1037</v>
      </c>
      <c r="E72" s="291" t="s">
        <v>1037</v>
      </c>
    </row>
    <row r="73" spans="1:14" s="3" customFormat="1" x14ac:dyDescent="0.25">
      <c r="A73" s="3" t="str">
        <f>A6</f>
        <v>Vache allaitante avec son veau</v>
      </c>
    </row>
    <row r="76" spans="1:14" x14ac:dyDescent="0.25">
      <c r="A76" s="50"/>
      <c r="B76" s="50" t="s">
        <v>58</v>
      </c>
      <c r="C76" s="50" t="s">
        <v>59</v>
      </c>
      <c r="D76" s="50" t="s">
        <v>60</v>
      </c>
      <c r="E76" s="50" t="s">
        <v>61</v>
      </c>
      <c r="F76" s="50" t="s">
        <v>62</v>
      </c>
      <c r="G76" s="50" t="s">
        <v>63</v>
      </c>
      <c r="H76" s="50" t="s">
        <v>64</v>
      </c>
      <c r="I76" s="50" t="s">
        <v>65</v>
      </c>
      <c r="J76" s="50" t="s">
        <v>989</v>
      </c>
    </row>
    <row r="77" spans="1:14" x14ac:dyDescent="0.25">
      <c r="A77" s="67" t="s">
        <v>278</v>
      </c>
      <c r="B77" s="8" t="s">
        <v>66</v>
      </c>
      <c r="C77" s="8" t="s">
        <v>66</v>
      </c>
      <c r="D77" s="8" t="s">
        <v>66</v>
      </c>
      <c r="E77" s="8" t="s">
        <v>66</v>
      </c>
      <c r="F77" s="8" t="s">
        <v>66</v>
      </c>
      <c r="G77" s="8" t="s">
        <v>66</v>
      </c>
      <c r="H77" s="8" t="s">
        <v>66</v>
      </c>
      <c r="I77" s="8" t="s">
        <v>66</v>
      </c>
      <c r="J77" s="8"/>
    </row>
    <row r="78" spans="1:14" x14ac:dyDescent="0.25">
      <c r="A78" s="2" t="s">
        <v>67</v>
      </c>
      <c r="B78" s="294">
        <v>24</v>
      </c>
      <c r="C78" s="294">
        <v>3.7</v>
      </c>
      <c r="D78" s="294">
        <v>27</v>
      </c>
      <c r="E78" s="294">
        <v>1</v>
      </c>
      <c r="F78" s="294">
        <v>0.85</v>
      </c>
      <c r="G78" s="294"/>
      <c r="H78" s="294">
        <v>95</v>
      </c>
      <c r="I78" s="294">
        <v>108</v>
      </c>
      <c r="J78" s="294" t="s">
        <v>990</v>
      </c>
    </row>
    <row r="79" spans="1:14" x14ac:dyDescent="0.25">
      <c r="A79" s="2" t="s">
        <v>68</v>
      </c>
      <c r="B79" s="294">
        <v>14.4</v>
      </c>
      <c r="C79" s="294">
        <v>3</v>
      </c>
      <c r="D79" s="294">
        <v>18</v>
      </c>
      <c r="E79" s="294">
        <v>1.3</v>
      </c>
      <c r="F79" s="294">
        <v>0.6</v>
      </c>
      <c r="G79" s="294"/>
      <c r="H79" s="294">
        <v>69</v>
      </c>
      <c r="I79" s="294">
        <v>55</v>
      </c>
      <c r="J79" s="294" t="s">
        <v>990</v>
      </c>
    </row>
    <row r="80" spans="1:14" x14ac:dyDescent="0.25">
      <c r="A80" s="2" t="s">
        <v>69</v>
      </c>
      <c r="B80" s="294">
        <v>19.2</v>
      </c>
      <c r="C80" s="294">
        <v>3</v>
      </c>
      <c r="D80" s="294">
        <v>18</v>
      </c>
      <c r="E80" s="294">
        <v>1.3</v>
      </c>
      <c r="F80" s="294">
        <v>0.7</v>
      </c>
      <c r="G80" s="294"/>
      <c r="H80" s="294">
        <v>57</v>
      </c>
      <c r="I80" s="294">
        <v>68</v>
      </c>
      <c r="J80" s="294" t="s">
        <v>990</v>
      </c>
    </row>
    <row r="81" spans="1:10" x14ac:dyDescent="0.25">
      <c r="A81" s="2" t="s">
        <v>70</v>
      </c>
      <c r="B81" s="294">
        <v>13.1</v>
      </c>
      <c r="C81" s="294">
        <v>2.5</v>
      </c>
      <c r="D81" s="294">
        <v>10</v>
      </c>
      <c r="E81" s="294">
        <v>1.05</v>
      </c>
      <c r="F81" s="294">
        <v>0.8</v>
      </c>
      <c r="G81" s="294"/>
      <c r="H81" s="294">
        <v>68</v>
      </c>
      <c r="I81" s="294">
        <v>50</v>
      </c>
      <c r="J81" s="294" t="s">
        <v>990</v>
      </c>
    </row>
    <row r="83" spans="1:10" x14ac:dyDescent="0.25">
      <c r="A83" s="50"/>
      <c r="B83" s="50" t="s">
        <v>58</v>
      </c>
      <c r="C83" s="50" t="s">
        <v>59</v>
      </c>
      <c r="D83" s="50" t="s">
        <v>60</v>
      </c>
      <c r="E83" s="50" t="s">
        <v>61</v>
      </c>
      <c r="F83" s="50" t="s">
        <v>62</v>
      </c>
      <c r="G83" s="50" t="s">
        <v>63</v>
      </c>
      <c r="H83" s="50" t="s">
        <v>64</v>
      </c>
      <c r="I83" s="50" t="s">
        <v>65</v>
      </c>
      <c r="J83" s="50" t="s">
        <v>989</v>
      </c>
    </row>
    <row r="84" spans="1:10" x14ac:dyDescent="0.25">
      <c r="A84" s="8"/>
      <c r="B84" s="8" t="s">
        <v>66</v>
      </c>
      <c r="C84" s="8" t="s">
        <v>66</v>
      </c>
      <c r="D84" s="8" t="s">
        <v>66</v>
      </c>
      <c r="E84" s="8" t="s">
        <v>66</v>
      </c>
      <c r="F84" s="8" t="s">
        <v>66</v>
      </c>
      <c r="G84" s="8" t="s">
        <v>66</v>
      </c>
      <c r="H84" s="8" t="s">
        <v>66</v>
      </c>
      <c r="I84" s="8" t="s">
        <v>66</v>
      </c>
      <c r="J84" s="8"/>
    </row>
    <row r="85" spans="1:10" x14ac:dyDescent="0.25">
      <c r="A85" s="2" t="s">
        <v>97</v>
      </c>
      <c r="B85" s="294">
        <v>18.399999999999999</v>
      </c>
      <c r="C85" s="294">
        <v>3.7</v>
      </c>
      <c r="D85" s="294">
        <v>4.0999999999999996</v>
      </c>
      <c r="E85" s="17" t="s">
        <v>50</v>
      </c>
      <c r="F85" s="294">
        <v>1.1499999999999999</v>
      </c>
      <c r="G85" s="294"/>
      <c r="H85" s="294">
        <v>100</v>
      </c>
      <c r="I85" s="294">
        <v>75</v>
      </c>
      <c r="J85" s="294" t="s">
        <v>990</v>
      </c>
    </row>
    <row r="86" spans="1:10" x14ac:dyDescent="0.25">
      <c r="A86" s="2" t="s">
        <v>96</v>
      </c>
      <c r="B86" s="294">
        <v>83.2</v>
      </c>
      <c r="C86" s="294">
        <v>7.8</v>
      </c>
      <c r="D86" s="294">
        <v>25</v>
      </c>
      <c r="E86" s="17" t="s">
        <v>50</v>
      </c>
      <c r="F86" s="294">
        <v>1.1499999999999999</v>
      </c>
      <c r="G86" s="294"/>
      <c r="H86" s="294">
        <v>250</v>
      </c>
      <c r="I86" s="294">
        <v>370</v>
      </c>
      <c r="J86" s="294" t="s">
        <v>990</v>
      </c>
    </row>
    <row r="87" spans="1:10" x14ac:dyDescent="0.25">
      <c r="E87" s="13"/>
    </row>
    <row r="88" spans="1:10" x14ac:dyDescent="0.25">
      <c r="A88" s="51" t="s">
        <v>103</v>
      </c>
      <c r="B88" s="51" t="s">
        <v>98</v>
      </c>
      <c r="C88" s="52" t="s">
        <v>104</v>
      </c>
      <c r="E88" s="13"/>
    </row>
    <row r="89" spans="1:10" x14ac:dyDescent="0.25">
      <c r="A89" s="2" t="s">
        <v>99</v>
      </c>
      <c r="B89" s="2" t="s">
        <v>100</v>
      </c>
      <c r="C89" s="2">
        <v>1</v>
      </c>
      <c r="D89" s="291" t="s">
        <v>1034</v>
      </c>
      <c r="E89" s="13"/>
      <c r="F89" s="13"/>
      <c r="G89" s="13"/>
      <c r="H89" s="13"/>
      <c r="I89" s="13"/>
    </row>
    <row r="90" spans="1:10" x14ac:dyDescent="0.25">
      <c r="A90" s="2" t="s">
        <v>99</v>
      </c>
      <c r="B90" s="2" t="s">
        <v>101</v>
      </c>
      <c r="C90" s="2">
        <v>0.95</v>
      </c>
      <c r="D90" s="291" t="s">
        <v>1034</v>
      </c>
    </row>
    <row r="91" spans="1:10" x14ac:dyDescent="0.25">
      <c r="A91" s="2" t="s">
        <v>102</v>
      </c>
      <c r="B91" s="2" t="s">
        <v>100</v>
      </c>
      <c r="C91" s="2">
        <v>0.9</v>
      </c>
      <c r="D91" s="291" t="s">
        <v>1034</v>
      </c>
    </row>
    <row r="92" spans="1:10" x14ac:dyDescent="0.25">
      <c r="A92" s="2" t="s">
        <v>102</v>
      </c>
      <c r="B92" s="2" t="s">
        <v>101</v>
      </c>
      <c r="C92" s="2">
        <v>0.85</v>
      </c>
      <c r="D92" s="291" t="s">
        <v>1034</v>
      </c>
    </row>
    <row r="94" spans="1:10" x14ac:dyDescent="0.25">
      <c r="A94" s="50" t="s">
        <v>25</v>
      </c>
      <c r="B94" s="52" t="s">
        <v>104</v>
      </c>
      <c r="C94" t="s">
        <v>108</v>
      </c>
    </row>
    <row r="95" spans="1:10" x14ac:dyDescent="0.25">
      <c r="A95" s="2" t="s">
        <v>105</v>
      </c>
      <c r="B95" s="2">
        <v>1</v>
      </c>
      <c r="C95" t="s">
        <v>295</v>
      </c>
    </row>
    <row r="96" spans="1:10" x14ac:dyDescent="0.25">
      <c r="A96" s="2" t="s">
        <v>106</v>
      </c>
      <c r="B96" s="2">
        <v>0.95</v>
      </c>
    </row>
    <row r="97" spans="1:14" x14ac:dyDescent="0.25">
      <c r="A97" s="2" t="s">
        <v>107</v>
      </c>
      <c r="B97" s="2">
        <v>0.9</v>
      </c>
    </row>
    <row r="99" spans="1:14" x14ac:dyDescent="0.25">
      <c r="A99" s="50" t="s">
        <v>109</v>
      </c>
      <c r="B99" s="50" t="s">
        <v>58</v>
      </c>
      <c r="C99" s="50"/>
      <c r="D99" s="50" t="s">
        <v>59</v>
      </c>
      <c r="E99" s="50"/>
      <c r="F99" s="50" t="s">
        <v>60</v>
      </c>
      <c r="G99" s="50"/>
      <c r="H99" s="50" t="s">
        <v>118</v>
      </c>
      <c r="I99" s="50"/>
      <c r="J99" t="s">
        <v>126</v>
      </c>
    </row>
    <row r="100" spans="1:14" x14ac:dyDescent="0.25">
      <c r="A100" s="50" t="s">
        <v>112</v>
      </c>
      <c r="B100" s="50" t="s">
        <v>110</v>
      </c>
      <c r="C100" s="50" t="s">
        <v>111</v>
      </c>
      <c r="D100" s="50" t="s">
        <v>113</v>
      </c>
      <c r="E100" s="50" t="s">
        <v>114</v>
      </c>
      <c r="F100" s="50" t="s">
        <v>116</v>
      </c>
      <c r="G100" s="50" t="s">
        <v>117</v>
      </c>
      <c r="H100" s="50" t="s">
        <v>119</v>
      </c>
      <c r="I100" s="50" t="s">
        <v>120</v>
      </c>
    </row>
    <row r="101" spans="1:14" x14ac:dyDescent="0.25">
      <c r="A101" s="2" t="s">
        <v>67</v>
      </c>
      <c r="B101" s="2">
        <v>2.0400000000000001E-2</v>
      </c>
      <c r="C101" s="2">
        <v>-3.1</v>
      </c>
      <c r="D101" s="2">
        <v>3.0699999999999998E-3</v>
      </c>
      <c r="E101" s="2">
        <v>-0.49</v>
      </c>
      <c r="F101" s="10">
        <v>2.29E-2</v>
      </c>
      <c r="G101" s="10">
        <v>-2.7</v>
      </c>
      <c r="H101" s="2">
        <v>0.85699999999999998</v>
      </c>
      <c r="I101" s="2">
        <v>-106</v>
      </c>
    </row>
    <row r="102" spans="1:14" x14ac:dyDescent="0.25">
      <c r="A102" s="2" t="s">
        <v>68</v>
      </c>
      <c r="B102" s="2">
        <v>4.8999999999999998E-3</v>
      </c>
      <c r="C102" s="2">
        <v>1.4</v>
      </c>
      <c r="D102" s="1107" t="s">
        <v>115</v>
      </c>
      <c r="E102" s="1108"/>
      <c r="F102" s="2">
        <v>6.6E-3</v>
      </c>
      <c r="G102" s="2">
        <v>1.4</v>
      </c>
      <c r="H102" s="2">
        <v>0.36399999999999999</v>
      </c>
      <c r="I102" s="2">
        <v>71</v>
      </c>
    </row>
    <row r="103" spans="1:14" x14ac:dyDescent="0.25">
      <c r="A103" s="2" t="s">
        <v>69</v>
      </c>
      <c r="B103" s="2">
        <v>4.0000000000000001E-3</v>
      </c>
      <c r="C103" s="2">
        <v>3.2</v>
      </c>
      <c r="D103" s="1109"/>
      <c r="E103" s="1110"/>
      <c r="F103" s="2">
        <v>5.7999999999999996E-3</v>
      </c>
      <c r="G103" s="2">
        <v>1.8</v>
      </c>
      <c r="H103" s="2">
        <v>0.36399999999999999</v>
      </c>
      <c r="I103" s="2">
        <v>71</v>
      </c>
    </row>
    <row r="104" spans="1:14" x14ac:dyDescent="0.25">
      <c r="A104" s="2" t="s">
        <v>70</v>
      </c>
      <c r="B104" s="2">
        <v>1.24E-2</v>
      </c>
      <c r="C104" s="2">
        <v>-3.5</v>
      </c>
      <c r="D104" s="1111"/>
      <c r="E104" s="1112"/>
      <c r="F104" s="2">
        <v>5.8999999999999999E-3</v>
      </c>
      <c r="G104" s="2">
        <v>-0.7</v>
      </c>
      <c r="H104" s="2">
        <v>0.36399999999999999</v>
      </c>
      <c r="I104" s="2">
        <v>72</v>
      </c>
    </row>
    <row r="105" spans="1:14" x14ac:dyDescent="0.25">
      <c r="H105" t="s">
        <v>729</v>
      </c>
      <c r="I105" t="s">
        <v>730</v>
      </c>
      <c r="J105" t="str">
        <f>param_bovins!J61</f>
        <v>si fumière couverte</v>
      </c>
      <c r="K105" t="str">
        <f>param_bovins!K61</f>
        <v>si fumière non couverte</v>
      </c>
      <c r="L105" t="str">
        <f>param_bovins!L61</f>
        <v>si fumière couverte</v>
      </c>
      <c r="M105" t="str">
        <f>param_bovins!M61</f>
        <v>si fumière non couverte</v>
      </c>
    </row>
    <row r="106" spans="1:14" x14ac:dyDescent="0.25">
      <c r="A106" s="7"/>
      <c r="B106" s="7" t="s">
        <v>84</v>
      </c>
      <c r="C106" s="7" t="s">
        <v>83</v>
      </c>
      <c r="D106" s="7" t="s">
        <v>90</v>
      </c>
      <c r="E106" s="26" t="s">
        <v>85</v>
      </c>
      <c r="F106" s="26" t="s">
        <v>127</v>
      </c>
      <c r="G106" s="7" t="s">
        <v>727</v>
      </c>
      <c r="H106" s="7" t="s">
        <v>731</v>
      </c>
      <c r="I106" s="7" t="s">
        <v>731</v>
      </c>
      <c r="J106" t="str">
        <f>param_bovins!J62</f>
        <v>P</v>
      </c>
      <c r="K106" t="str">
        <f>param_bovins!K62</f>
        <v>P</v>
      </c>
      <c r="L106" t="str">
        <f>param_bovins!L62</f>
        <v>K</v>
      </c>
      <c r="M106" t="str">
        <f>param_bovins!M62</f>
        <v>K</v>
      </c>
      <c r="N106" s="275" t="s">
        <v>781</v>
      </c>
    </row>
    <row r="107" spans="1:14" x14ac:dyDescent="0.25">
      <c r="A107" s="2" t="s">
        <v>9</v>
      </c>
      <c r="B107" s="2">
        <v>1</v>
      </c>
      <c r="C107" s="2">
        <v>0</v>
      </c>
      <c r="D107" s="2">
        <v>0</v>
      </c>
      <c r="E107" s="8" t="s">
        <v>50</v>
      </c>
      <c r="F107" s="8">
        <v>1.03</v>
      </c>
      <c r="G107" s="2"/>
      <c r="H107" s="2"/>
      <c r="I107" s="2"/>
    </row>
    <row r="108" spans="1:14" x14ac:dyDescent="0.25">
      <c r="A108" s="2" t="s">
        <v>7</v>
      </c>
      <c r="B108" s="2">
        <v>1</v>
      </c>
      <c r="C108" s="2">
        <v>0</v>
      </c>
      <c r="D108" s="2">
        <v>0</v>
      </c>
      <c r="E108" s="8" t="s">
        <v>50</v>
      </c>
      <c r="F108" s="8">
        <v>1.03</v>
      </c>
      <c r="G108" s="2"/>
      <c r="H108" s="2"/>
      <c r="I108" s="2"/>
    </row>
    <row r="109" spans="1:14" x14ac:dyDescent="0.25">
      <c r="A109" s="2" t="s">
        <v>8</v>
      </c>
      <c r="B109" s="2">
        <v>0.5</v>
      </c>
      <c r="C109" s="2">
        <v>0.5</v>
      </c>
      <c r="D109" s="2">
        <v>0</v>
      </c>
      <c r="E109" s="8" t="s">
        <v>86</v>
      </c>
      <c r="F109" s="8">
        <v>0.6</v>
      </c>
      <c r="G109" s="2">
        <v>13.5</v>
      </c>
      <c r="H109" s="2">
        <v>0</v>
      </c>
      <c r="I109" s="2">
        <v>0.01</v>
      </c>
      <c r="J109">
        <f>param_bovins!J65</f>
        <v>0</v>
      </c>
      <c r="K109">
        <f>param_bovins!K65</f>
        <v>9.0000000000000011E-3</v>
      </c>
      <c r="L109">
        <f>param_bovins!L65</f>
        <v>0</v>
      </c>
      <c r="M109">
        <f>param_bovins!M65</f>
        <v>1.0999999999999999E-2</v>
      </c>
      <c r="N109">
        <v>22.1</v>
      </c>
    </row>
    <row r="110" spans="1:14" x14ac:dyDescent="0.25">
      <c r="A110" s="2" t="s">
        <v>10</v>
      </c>
      <c r="B110" s="2">
        <v>0.5</v>
      </c>
      <c r="C110" s="2">
        <v>0.5</v>
      </c>
      <c r="D110" s="2">
        <v>0.23</v>
      </c>
      <c r="E110" s="8" t="s">
        <v>87</v>
      </c>
      <c r="F110" s="8">
        <v>0.9</v>
      </c>
      <c r="G110" s="2">
        <v>16.75</v>
      </c>
      <c r="H110" s="2">
        <v>0.115</v>
      </c>
      <c r="I110" s="2">
        <v>0.125</v>
      </c>
      <c r="J110">
        <f>param_bovins!J66</f>
        <v>0.10350000000000001</v>
      </c>
      <c r="K110">
        <f>param_bovins!K66</f>
        <v>0.1125</v>
      </c>
      <c r="L110">
        <f>param_bovins!L66</f>
        <v>0.1265</v>
      </c>
      <c r="M110">
        <f>param_bovins!M66</f>
        <v>0.13750000000000001</v>
      </c>
      <c r="N110">
        <v>19</v>
      </c>
    </row>
    <row r="111" spans="1:14" x14ac:dyDescent="0.25">
      <c r="A111" s="2" t="s">
        <v>11</v>
      </c>
      <c r="B111" s="2">
        <v>0</v>
      </c>
      <c r="C111" s="2">
        <v>1</v>
      </c>
      <c r="D111" s="2">
        <v>0.15</v>
      </c>
      <c r="E111" s="8" t="s">
        <v>88</v>
      </c>
      <c r="F111" s="8">
        <v>0.75</v>
      </c>
      <c r="G111" s="2">
        <v>15</v>
      </c>
      <c r="H111" s="2">
        <v>8.5000000000000006E-2</v>
      </c>
      <c r="I111" s="2">
        <v>9.5000000000000001E-2</v>
      </c>
      <c r="J111">
        <f>param_bovins!J67</f>
        <v>7.6500000000000012E-2</v>
      </c>
      <c r="K111">
        <f>param_bovins!K67</f>
        <v>8.5499999999999993E-2</v>
      </c>
      <c r="L111">
        <f>param_bovins!L67</f>
        <v>9.35E-2</v>
      </c>
      <c r="M111">
        <f>param_bovins!M67</f>
        <v>0.10450000000000001</v>
      </c>
      <c r="N111">
        <v>18.5</v>
      </c>
    </row>
    <row r="112" spans="1:14" x14ac:dyDescent="0.25">
      <c r="A112" s="2" t="s">
        <v>12</v>
      </c>
      <c r="B112" s="2">
        <v>0</v>
      </c>
      <c r="C112" s="2">
        <v>1</v>
      </c>
      <c r="D112" s="2">
        <v>0.04</v>
      </c>
      <c r="E112" s="8" t="s">
        <v>89</v>
      </c>
      <c r="F112" s="8">
        <v>0.75</v>
      </c>
      <c r="G112" s="2">
        <v>15</v>
      </c>
      <c r="H112" s="2">
        <v>0.02</v>
      </c>
      <c r="I112" s="2">
        <v>0.03</v>
      </c>
      <c r="J112">
        <f>param_bovins!J68</f>
        <v>1.8000000000000002E-2</v>
      </c>
      <c r="K112">
        <f>param_bovins!K68</f>
        <v>2.7E-2</v>
      </c>
      <c r="L112">
        <f>param_bovins!L68</f>
        <v>2.1999999999999999E-2</v>
      </c>
      <c r="M112">
        <f>param_bovins!M68</f>
        <v>3.3000000000000002E-2</v>
      </c>
      <c r="N112">
        <v>18.2</v>
      </c>
    </row>
    <row r="113" spans="1:14" x14ac:dyDescent="0.25">
      <c r="A113" s="2" t="s">
        <v>13</v>
      </c>
      <c r="B113" s="2">
        <v>0</v>
      </c>
      <c r="C113" s="2">
        <v>1</v>
      </c>
      <c r="D113" s="2">
        <v>0.23</v>
      </c>
      <c r="E113" s="8" t="s">
        <v>87</v>
      </c>
      <c r="F113" s="8">
        <v>0.9</v>
      </c>
      <c r="G113" s="2">
        <v>16.75</v>
      </c>
      <c r="H113" s="2">
        <v>0.115</v>
      </c>
      <c r="I113" s="2">
        <v>0.125</v>
      </c>
      <c r="J113">
        <f>param_bovins!J69</f>
        <v>0.10350000000000001</v>
      </c>
      <c r="K113">
        <f>param_bovins!K69</f>
        <v>0.1125</v>
      </c>
      <c r="L113">
        <f>param_bovins!L69</f>
        <v>0.1265</v>
      </c>
      <c r="M113">
        <f>param_bovins!M69</f>
        <v>0.13750000000000001</v>
      </c>
      <c r="N113">
        <v>19</v>
      </c>
    </row>
    <row r="114" spans="1:14" x14ac:dyDescent="0.25">
      <c r="A114" s="2" t="s">
        <v>441</v>
      </c>
      <c r="B114" s="10">
        <v>0</v>
      </c>
      <c r="C114" s="10">
        <v>1</v>
      </c>
      <c r="D114" s="2">
        <v>0.04</v>
      </c>
      <c r="E114" s="95" t="s">
        <v>89</v>
      </c>
      <c r="F114" s="2">
        <v>0.75</v>
      </c>
      <c r="G114" s="2">
        <v>15</v>
      </c>
      <c r="H114" s="2">
        <v>0.02</v>
      </c>
      <c r="I114" s="2">
        <v>0.03</v>
      </c>
      <c r="J114">
        <f>param_bovins!J70</f>
        <v>1.8000000000000002E-2</v>
      </c>
      <c r="K114">
        <f>param_bovins!K70</f>
        <v>2.7E-2</v>
      </c>
      <c r="L114">
        <f>param_bovins!L70</f>
        <v>2.1999999999999999E-2</v>
      </c>
      <c r="M114">
        <f>param_bovins!M70</f>
        <v>3.3000000000000002E-2</v>
      </c>
      <c r="N114">
        <v>22.1</v>
      </c>
    </row>
    <row r="115" spans="1:14" x14ac:dyDescent="0.25">
      <c r="A115" s="2" t="s">
        <v>442</v>
      </c>
      <c r="B115" s="10">
        <v>0</v>
      </c>
      <c r="C115" s="10">
        <v>1</v>
      </c>
      <c r="D115" s="2">
        <v>0</v>
      </c>
      <c r="E115" s="2" t="s">
        <v>86</v>
      </c>
      <c r="F115" s="2">
        <v>0.6</v>
      </c>
      <c r="G115" s="2">
        <v>13.5</v>
      </c>
      <c r="H115" s="2">
        <v>0</v>
      </c>
      <c r="I115" s="2">
        <v>0.01</v>
      </c>
      <c r="J115">
        <f>param_bovins!J71</f>
        <v>0</v>
      </c>
      <c r="K115">
        <f>param_bovins!K71</f>
        <v>9.0000000000000011E-3</v>
      </c>
      <c r="L115">
        <f>param_bovins!L71</f>
        <v>0</v>
      </c>
      <c r="M115">
        <f>param_bovins!M71</f>
        <v>1.0999999999999999E-2</v>
      </c>
      <c r="N115">
        <v>22.1</v>
      </c>
    </row>
    <row r="117" spans="1:14" s="4" customFormat="1" x14ac:dyDescent="0.25">
      <c r="A117" s="4" t="str">
        <f>A7</f>
        <v>Génisse (6 mois-1 an)</v>
      </c>
      <c r="B117" s="4" t="str">
        <f>A8</f>
        <v>Génisse (1 - 2 ans)</v>
      </c>
      <c r="C117" s="4" t="str">
        <f>A9</f>
        <v>Génisse (&gt; 2 ans)</v>
      </c>
    </row>
    <row r="119" spans="1:14" x14ac:dyDescent="0.25">
      <c r="A119" s="7" t="s">
        <v>121</v>
      </c>
      <c r="B119" s="2"/>
    </row>
    <row r="120" spans="1:14" x14ac:dyDescent="0.25">
      <c r="A120" s="2" t="s">
        <v>122</v>
      </c>
      <c r="B120" s="2">
        <v>0.7</v>
      </c>
    </row>
    <row r="121" spans="1:14" x14ac:dyDescent="0.25">
      <c r="A121" s="2" t="s">
        <v>123</v>
      </c>
      <c r="B121" s="2">
        <v>1</v>
      </c>
    </row>
    <row r="122" spans="1:14" x14ac:dyDescent="0.25">
      <c r="A122" s="2" t="s">
        <v>124</v>
      </c>
      <c r="B122" s="2">
        <v>1.2</v>
      </c>
    </row>
    <row r="124" spans="1:14" x14ac:dyDescent="0.25">
      <c r="A124" s="7" t="s">
        <v>109</v>
      </c>
      <c r="B124" s="7" t="s">
        <v>58</v>
      </c>
      <c r="C124" s="7"/>
      <c r="D124" s="7" t="s">
        <v>59</v>
      </c>
      <c r="E124" s="7"/>
      <c r="F124" s="26" t="s">
        <v>60</v>
      </c>
      <c r="G124" s="7"/>
      <c r="H124" s="7" t="s">
        <v>118</v>
      </c>
      <c r="I124" s="7"/>
      <c r="J124" t="s">
        <v>125</v>
      </c>
    </row>
    <row r="125" spans="1:14" x14ac:dyDescent="0.25">
      <c r="A125" s="7" t="s">
        <v>112</v>
      </c>
      <c r="B125" s="7" t="s">
        <v>110</v>
      </c>
      <c r="C125" s="7" t="s">
        <v>111</v>
      </c>
      <c r="D125" s="7" t="s">
        <v>113</v>
      </c>
      <c r="E125" s="7" t="s">
        <v>114</v>
      </c>
      <c r="F125" s="26" t="s">
        <v>116</v>
      </c>
      <c r="G125" s="26" t="s">
        <v>117</v>
      </c>
      <c r="H125" s="26" t="s">
        <v>119</v>
      </c>
      <c r="I125" s="26" t="s">
        <v>120</v>
      </c>
    </row>
    <row r="126" spans="1:14" x14ac:dyDescent="0.25">
      <c r="A126" s="2" t="s">
        <v>67</v>
      </c>
      <c r="B126" s="2">
        <v>11.7</v>
      </c>
      <c r="C126" s="2">
        <v>100</v>
      </c>
      <c r="D126" s="2">
        <v>1.84</v>
      </c>
      <c r="E126" s="2">
        <v>-40</v>
      </c>
      <c r="F126" s="10">
        <v>12.2</v>
      </c>
      <c r="G126" s="10">
        <v>1000</v>
      </c>
      <c r="H126" s="2">
        <v>0.436</v>
      </c>
      <c r="I126" s="2">
        <v>43</v>
      </c>
    </row>
    <row r="127" spans="1:14" x14ac:dyDescent="0.25">
      <c r="A127" s="2" t="s">
        <v>68</v>
      </c>
      <c r="B127" s="2">
        <v>4.5999999999999996</v>
      </c>
      <c r="C127" s="2">
        <v>1100</v>
      </c>
      <c r="D127" s="21">
        <v>1.62</v>
      </c>
      <c r="E127" s="21">
        <v>0</v>
      </c>
      <c r="F127" s="2">
        <v>6.6</v>
      </c>
      <c r="G127" s="2">
        <v>500</v>
      </c>
      <c r="H127" s="2">
        <v>0.35899999999999999</v>
      </c>
      <c r="I127" s="2">
        <v>16</v>
      </c>
    </row>
    <row r="128" spans="1:14" x14ac:dyDescent="0.25">
      <c r="A128" s="2" t="s">
        <v>69</v>
      </c>
      <c r="B128" s="2">
        <v>5.9</v>
      </c>
      <c r="C128" s="2">
        <v>1400</v>
      </c>
      <c r="D128" s="21">
        <v>1.58</v>
      </c>
      <c r="E128" s="21">
        <v>10</v>
      </c>
      <c r="F128" s="2">
        <v>6.8</v>
      </c>
      <c r="G128" s="2">
        <v>500</v>
      </c>
      <c r="H128" s="2">
        <v>0.377</v>
      </c>
      <c r="I128" s="2">
        <v>12</v>
      </c>
    </row>
    <row r="129" spans="1:10" x14ac:dyDescent="0.25">
      <c r="A129" s="67" t="s">
        <v>311</v>
      </c>
      <c r="B129" s="2"/>
      <c r="C129" s="2"/>
      <c r="D129" s="19"/>
      <c r="E129" s="20"/>
      <c r="F129" s="2"/>
      <c r="G129" s="2"/>
      <c r="H129" s="2"/>
      <c r="I129" s="2"/>
    </row>
    <row r="133" spans="1:10" s="18" customFormat="1" x14ac:dyDescent="0.25">
      <c r="A133" s="77" t="str">
        <f>A10</f>
        <v>Bovin à l'engrais (0 - 1 an)</v>
      </c>
      <c r="B133" s="77" t="str">
        <f>A11</f>
        <v>Bovin à l'engrais (1 - 2 ans)</v>
      </c>
      <c r="C133" s="77" t="str">
        <f>A12</f>
        <v>Bovin à l'engrais (&gt; 2 ans)</v>
      </c>
    </row>
    <row r="135" spans="1:10" x14ac:dyDescent="0.25">
      <c r="A135" s="7" t="s">
        <v>103</v>
      </c>
      <c r="B135" s="7" t="s">
        <v>104</v>
      </c>
    </row>
    <row r="136" spans="1:10" x14ac:dyDescent="0.25">
      <c r="A136" s="2">
        <v>600</v>
      </c>
      <c r="B136" s="2">
        <v>1</v>
      </c>
    </row>
    <row r="137" spans="1:10" x14ac:dyDescent="0.25">
      <c r="A137" s="2">
        <v>500</v>
      </c>
      <c r="B137" s="2">
        <v>0.8</v>
      </c>
    </row>
    <row r="138" spans="1:10" x14ac:dyDescent="0.25">
      <c r="A138" s="2">
        <v>400</v>
      </c>
      <c r="B138" s="2">
        <v>0.7</v>
      </c>
    </row>
    <row r="139" spans="1:10" x14ac:dyDescent="0.25">
      <c r="A139" s="78" t="s">
        <v>350</v>
      </c>
      <c r="B139" s="6"/>
    </row>
    <row r="141" spans="1:10" x14ac:dyDescent="0.25">
      <c r="A141" s="7" t="s">
        <v>109</v>
      </c>
      <c r="B141" s="7" t="s">
        <v>58</v>
      </c>
      <c r="C141" s="7"/>
      <c r="D141" s="7" t="s">
        <v>59</v>
      </c>
      <c r="E141" s="7"/>
      <c r="F141" s="26" t="s">
        <v>60</v>
      </c>
      <c r="G141" s="7"/>
      <c r="H141" s="7" t="s">
        <v>118</v>
      </c>
      <c r="I141" s="7"/>
      <c r="J141" t="s">
        <v>125</v>
      </c>
    </row>
    <row r="142" spans="1:10" x14ac:dyDescent="0.25">
      <c r="A142" s="7" t="s">
        <v>112</v>
      </c>
      <c r="B142" s="7" t="s">
        <v>110</v>
      </c>
      <c r="C142" s="7" t="s">
        <v>111</v>
      </c>
      <c r="D142" s="7" t="s">
        <v>113</v>
      </c>
      <c r="E142" s="7" t="s">
        <v>114</v>
      </c>
      <c r="F142" s="26" t="s">
        <v>116</v>
      </c>
      <c r="G142" s="26" t="s">
        <v>117</v>
      </c>
      <c r="H142" s="26" t="s">
        <v>119</v>
      </c>
      <c r="I142" s="26" t="s">
        <v>120</v>
      </c>
    </row>
    <row r="143" spans="1:10" x14ac:dyDescent="0.25">
      <c r="A143" s="2" t="s">
        <v>67</v>
      </c>
      <c r="B143" s="2">
        <v>15.3</v>
      </c>
      <c r="C143" s="2">
        <v>-1800</v>
      </c>
      <c r="D143" s="2">
        <v>2.17</v>
      </c>
      <c r="E143" s="2">
        <v>-190</v>
      </c>
      <c r="F143" s="10">
        <v>15</v>
      </c>
      <c r="G143" s="10">
        <v>-800</v>
      </c>
      <c r="H143" s="2">
        <v>0.52</v>
      </c>
      <c r="I143" s="2">
        <v>-39</v>
      </c>
    </row>
    <row r="144" spans="1:10" x14ac:dyDescent="0.25">
      <c r="A144" s="2" t="s">
        <v>68</v>
      </c>
      <c r="B144" s="2">
        <v>12.9</v>
      </c>
      <c r="C144" s="2">
        <v>0</v>
      </c>
      <c r="D144" s="21">
        <v>1.7</v>
      </c>
      <c r="E144" s="21">
        <v>0</v>
      </c>
      <c r="F144" s="2">
        <v>9.9</v>
      </c>
      <c r="G144" s="2">
        <v>0</v>
      </c>
      <c r="H144" s="2">
        <v>0.49</v>
      </c>
      <c r="I144" s="2">
        <v>0</v>
      </c>
    </row>
    <row r="145" spans="1:9" x14ac:dyDescent="0.25">
      <c r="A145" s="2" t="s">
        <v>69</v>
      </c>
      <c r="B145" s="2">
        <v>12.2</v>
      </c>
      <c r="C145" s="2">
        <v>-1000</v>
      </c>
      <c r="D145" s="21">
        <v>2.2200000000000002</v>
      </c>
      <c r="E145" s="21">
        <v>-120</v>
      </c>
      <c r="F145" s="2">
        <v>3.7</v>
      </c>
      <c r="G145" s="2">
        <v>1700</v>
      </c>
      <c r="H145" s="2">
        <v>4.2000000000000003E-2</v>
      </c>
      <c r="I145" s="2">
        <v>126</v>
      </c>
    </row>
    <row r="146" spans="1:9" x14ac:dyDescent="0.25">
      <c r="A146" s="10" t="s">
        <v>70</v>
      </c>
      <c r="B146" s="10">
        <v>9.4</v>
      </c>
      <c r="C146" s="10">
        <v>-300</v>
      </c>
      <c r="D146" s="22">
        <v>1.6</v>
      </c>
      <c r="E146" s="22">
        <v>20</v>
      </c>
      <c r="F146" s="10">
        <v>5</v>
      </c>
      <c r="G146" s="10">
        <v>500</v>
      </c>
      <c r="H146" s="10">
        <v>0.38600000000000001</v>
      </c>
      <c r="I146" s="10">
        <v>47</v>
      </c>
    </row>
    <row r="147" spans="1:9" x14ac:dyDescent="0.25">
      <c r="A147" s="76" t="s">
        <v>345</v>
      </c>
    </row>
    <row r="151" spans="1:9" s="23" customFormat="1" x14ac:dyDescent="0.25">
      <c r="A151" s="23" t="s">
        <v>22</v>
      </c>
    </row>
    <row r="153" spans="1:9" x14ac:dyDescent="0.25">
      <c r="A153" t="s">
        <v>21</v>
      </c>
    </row>
    <row r="154" spans="1:9" x14ac:dyDescent="0.25">
      <c r="A154" t="s">
        <v>20</v>
      </c>
    </row>
    <row r="157" spans="1:9" x14ac:dyDescent="0.25">
      <c r="A157" s="5" t="s">
        <v>131</v>
      </c>
    </row>
    <row r="158" spans="1:9" x14ac:dyDescent="0.25">
      <c r="A158" s="7" t="s">
        <v>58</v>
      </c>
      <c r="B158" s="7" t="s">
        <v>59</v>
      </c>
      <c r="C158" s="7" t="s">
        <v>60</v>
      </c>
      <c r="D158" s="48" t="s">
        <v>118</v>
      </c>
    </row>
    <row r="159" spans="1:9" x14ac:dyDescent="0.25">
      <c r="A159" s="8" t="s">
        <v>66</v>
      </c>
      <c r="B159" s="8" t="s">
        <v>66</v>
      </c>
      <c r="C159" s="8" t="s">
        <v>66</v>
      </c>
      <c r="D159" s="49" t="s">
        <v>205</v>
      </c>
    </row>
    <row r="160" spans="1:9" x14ac:dyDescent="0.25">
      <c r="A160" s="25">
        <f>35/6.25</f>
        <v>5.6</v>
      </c>
      <c r="B160" s="25">
        <v>1</v>
      </c>
      <c r="C160" s="25">
        <f>9.4*0.914</f>
        <v>8.5916000000000015</v>
      </c>
      <c r="D160">
        <v>0.88</v>
      </c>
    </row>
    <row r="162" spans="1:4" x14ac:dyDescent="0.25">
      <c r="A162" s="23" t="s">
        <v>366</v>
      </c>
      <c r="B162" t="s">
        <v>440</v>
      </c>
    </row>
    <row r="163" spans="1:4" x14ac:dyDescent="0.25">
      <c r="A163" s="291" t="s">
        <v>699</v>
      </c>
      <c r="B163" s="65">
        <v>0.5</v>
      </c>
    </row>
    <row r="164" spans="1:4" x14ac:dyDescent="0.25">
      <c r="A164" s="291" t="s">
        <v>700</v>
      </c>
    </row>
    <row r="167" spans="1:4" x14ac:dyDescent="0.25">
      <c r="A167" s="83" t="s">
        <v>398</v>
      </c>
      <c r="B167" s="83"/>
      <c r="C167" s="83"/>
    </row>
    <row r="168" spans="1:4" x14ac:dyDescent="0.25">
      <c r="A168" s="84"/>
      <c r="B168" s="84"/>
      <c r="C168" s="84"/>
    </row>
    <row r="169" spans="1:4" x14ac:dyDescent="0.25">
      <c r="A169" s="25" t="s">
        <v>399</v>
      </c>
      <c r="B169" s="25" t="s">
        <v>400</v>
      </c>
      <c r="C169" s="25">
        <v>0.8</v>
      </c>
    </row>
    <row r="170" spans="1:4" x14ac:dyDescent="0.25">
      <c r="A170" s="25"/>
      <c r="B170" s="25" t="s">
        <v>401</v>
      </c>
      <c r="C170" s="25"/>
    </row>
    <row r="171" spans="1:4" x14ac:dyDescent="0.25">
      <c r="A171" s="25"/>
      <c r="B171" s="25" t="s">
        <v>402</v>
      </c>
      <c r="C171" s="25"/>
    </row>
    <row r="172" spans="1:4" x14ac:dyDescent="0.25">
      <c r="A172" s="25" t="s">
        <v>403</v>
      </c>
      <c r="B172" s="25" t="s">
        <v>404</v>
      </c>
      <c r="C172" s="25">
        <v>18.46</v>
      </c>
    </row>
    <row r="173" spans="1:4" x14ac:dyDescent="0.25">
      <c r="A173" s="25"/>
      <c r="B173" s="86" t="s">
        <v>405</v>
      </c>
      <c r="C173" s="86">
        <v>0.12</v>
      </c>
      <c r="D173" t="s">
        <v>419</v>
      </c>
    </row>
    <row r="174" spans="1:4" x14ac:dyDescent="0.25">
      <c r="A174" s="25"/>
      <c r="B174" s="25" t="s">
        <v>406</v>
      </c>
      <c r="C174" s="85">
        <f>8.8/10000</f>
        <v>8.8000000000000003E-4</v>
      </c>
    </row>
    <row r="175" spans="1:4" x14ac:dyDescent="0.25">
      <c r="A175" s="25" t="s">
        <v>407</v>
      </c>
      <c r="B175" s="25" t="s">
        <v>408</v>
      </c>
      <c r="C175" s="25">
        <v>12.3</v>
      </c>
    </row>
    <row r="176" spans="1:4" x14ac:dyDescent="0.25">
      <c r="A176" s="25"/>
      <c r="B176" s="25" t="s">
        <v>409</v>
      </c>
      <c r="C176" s="25">
        <v>35.5</v>
      </c>
    </row>
    <row r="177" spans="1:4" x14ac:dyDescent="0.25">
      <c r="A177" s="25"/>
      <c r="B177" s="86" t="s">
        <v>402</v>
      </c>
      <c r="C177" s="86">
        <v>0.06</v>
      </c>
      <c r="D177" t="s">
        <v>420</v>
      </c>
    </row>
    <row r="178" spans="1:4" x14ac:dyDescent="0.25">
      <c r="A178" s="25"/>
      <c r="B178" s="25" t="s">
        <v>410</v>
      </c>
      <c r="C178" s="25">
        <v>0</v>
      </c>
    </row>
    <row r="179" spans="1:4" x14ac:dyDescent="0.25">
      <c r="A179" s="25"/>
      <c r="B179" s="25" t="s">
        <v>411</v>
      </c>
      <c r="C179" s="25">
        <v>3</v>
      </c>
    </row>
    <row r="180" spans="1:4" x14ac:dyDescent="0.25">
      <c r="A180" s="25" t="s">
        <v>412</v>
      </c>
      <c r="B180" s="25" t="s">
        <v>413</v>
      </c>
      <c r="C180" s="25">
        <v>1.57E-3</v>
      </c>
    </row>
    <row r="181" spans="1:4" x14ac:dyDescent="0.25">
      <c r="A181" s="25"/>
      <c r="B181" s="25" t="s">
        <v>414</v>
      </c>
      <c r="C181" s="25">
        <v>0.19600000000000001</v>
      </c>
    </row>
    <row r="182" spans="1:4" x14ac:dyDescent="0.25">
      <c r="A182" s="87" t="s">
        <v>415</v>
      </c>
      <c r="B182" s="87" t="s">
        <v>416</v>
      </c>
      <c r="C182" s="87">
        <v>24</v>
      </c>
    </row>
    <row r="183" spans="1:4" x14ac:dyDescent="0.25">
      <c r="A183" s="87"/>
      <c r="B183" s="87" t="s">
        <v>417</v>
      </c>
      <c r="C183" s="87">
        <v>60</v>
      </c>
    </row>
    <row r="184" spans="1:4" x14ac:dyDescent="0.25">
      <c r="A184" s="87"/>
      <c r="B184" s="87" t="s">
        <v>418</v>
      </c>
      <c r="C184" s="87">
        <v>70</v>
      </c>
    </row>
    <row r="187" spans="1:4" x14ac:dyDescent="0.25">
      <c r="A187" s="23" t="s">
        <v>717</v>
      </c>
    </row>
    <row r="188" spans="1:4" x14ac:dyDescent="0.25">
      <c r="A188" t="s">
        <v>718</v>
      </c>
    </row>
    <row r="189" spans="1:4" x14ac:dyDescent="0.25">
      <c r="A189" t="s">
        <v>719</v>
      </c>
    </row>
    <row r="192" spans="1:4" x14ac:dyDescent="0.25">
      <c r="A192" s="23" t="s">
        <v>722</v>
      </c>
      <c r="B192" s="82"/>
    </row>
    <row r="194" spans="1:4" x14ac:dyDescent="0.25">
      <c r="A194" s="227" t="s">
        <v>672</v>
      </c>
      <c r="B194" s="227" t="s">
        <v>673</v>
      </c>
    </row>
    <row r="195" spans="1:4" x14ac:dyDescent="0.25">
      <c r="A195" s="226"/>
      <c r="B195" s="226" t="s">
        <v>707</v>
      </c>
    </row>
    <row r="196" spans="1:4" x14ac:dyDescent="0.25">
      <c r="A196" s="226"/>
      <c r="B196" s="226"/>
    </row>
    <row r="197" spans="1:4" x14ac:dyDescent="0.25">
      <c r="A197" s="108" t="s">
        <v>674</v>
      </c>
      <c r="B197" s="108">
        <v>762</v>
      </c>
      <c r="D197" s="108" t="s">
        <v>674</v>
      </c>
    </row>
    <row r="198" spans="1:4" x14ac:dyDescent="0.25">
      <c r="A198" s="109" t="s">
        <v>675</v>
      </c>
      <c r="B198" s="109">
        <v>748</v>
      </c>
      <c r="D198" s="109" t="s">
        <v>675</v>
      </c>
    </row>
    <row r="199" spans="1:4" x14ac:dyDescent="0.25">
      <c r="A199" s="109" t="s">
        <v>1009</v>
      </c>
      <c r="B199" s="109">
        <v>618</v>
      </c>
      <c r="D199" s="109" t="s">
        <v>1009</v>
      </c>
    </row>
    <row r="200" spans="1:4" x14ac:dyDescent="0.25">
      <c r="A200" s="109" t="s">
        <v>676</v>
      </c>
      <c r="B200" s="109">
        <v>984</v>
      </c>
      <c r="D200" s="109" t="s">
        <v>676</v>
      </c>
    </row>
    <row r="201" spans="1:4" x14ac:dyDescent="0.25">
      <c r="A201" s="109" t="s">
        <v>677</v>
      </c>
      <c r="B201" s="109">
        <v>732</v>
      </c>
      <c r="D201" s="109" t="s">
        <v>677</v>
      </c>
    </row>
    <row r="202" spans="1:4" x14ac:dyDescent="0.25">
      <c r="A202" s="109" t="s">
        <v>678</v>
      </c>
      <c r="B202" s="109">
        <v>1144</v>
      </c>
      <c r="D202" s="109" t="s">
        <v>678</v>
      </c>
    </row>
    <row r="203" spans="1:4" x14ac:dyDescent="0.25">
      <c r="A203" s="109" t="s">
        <v>679</v>
      </c>
      <c r="B203" s="109">
        <v>723</v>
      </c>
      <c r="D203" s="109" t="s">
        <v>679</v>
      </c>
    </row>
    <row r="204" spans="1:4" x14ac:dyDescent="0.25">
      <c r="A204" s="109" t="s">
        <v>680</v>
      </c>
      <c r="B204" s="109">
        <v>592</v>
      </c>
      <c r="D204" s="109" t="s">
        <v>680</v>
      </c>
    </row>
    <row r="205" spans="1:4" x14ac:dyDescent="0.25">
      <c r="A205" s="109" t="s">
        <v>681</v>
      </c>
      <c r="B205" s="109">
        <v>744</v>
      </c>
      <c r="D205" s="109" t="s">
        <v>681</v>
      </c>
    </row>
    <row r="206" spans="1:4" x14ac:dyDescent="0.25">
      <c r="A206" s="109" t="s">
        <v>682</v>
      </c>
      <c r="B206" s="109">
        <v>965</v>
      </c>
      <c r="D206" s="109" t="s">
        <v>682</v>
      </c>
    </row>
    <row r="207" spans="1:4" x14ac:dyDescent="0.25">
      <c r="A207" s="109" t="s">
        <v>683</v>
      </c>
      <c r="B207" s="109">
        <v>687</v>
      </c>
      <c r="D207" s="109" t="s">
        <v>683</v>
      </c>
    </row>
    <row r="208" spans="1:4" x14ac:dyDescent="0.25">
      <c r="A208" s="109" t="s">
        <v>684</v>
      </c>
      <c r="B208" s="109">
        <v>723</v>
      </c>
      <c r="D208" s="109" t="s">
        <v>684</v>
      </c>
    </row>
    <row r="209" spans="1:4" x14ac:dyDescent="0.25">
      <c r="A209" s="109" t="s">
        <v>685</v>
      </c>
      <c r="B209" s="109">
        <v>1048</v>
      </c>
      <c r="D209" s="109" t="s">
        <v>685</v>
      </c>
    </row>
    <row r="210" spans="1:4" x14ac:dyDescent="0.25">
      <c r="A210" s="109" t="s">
        <v>686</v>
      </c>
      <c r="B210" s="109">
        <v>843</v>
      </c>
      <c r="D210" s="109" t="s">
        <v>686</v>
      </c>
    </row>
    <row r="211" spans="1:4" x14ac:dyDescent="0.25">
      <c r="A211" s="109" t="s">
        <v>687</v>
      </c>
      <c r="B211" s="109">
        <v>654</v>
      </c>
      <c r="D211" s="109" t="s">
        <v>687</v>
      </c>
    </row>
    <row r="212" spans="1:4" x14ac:dyDescent="0.25">
      <c r="A212" s="109" t="s">
        <v>688</v>
      </c>
      <c r="B212" s="109">
        <v>765</v>
      </c>
      <c r="D212" s="109" t="s">
        <v>688</v>
      </c>
    </row>
    <row r="213" spans="1:4" x14ac:dyDescent="0.25">
      <c r="A213" s="109" t="s">
        <v>689</v>
      </c>
      <c r="B213" s="109">
        <v>798</v>
      </c>
      <c r="D213" s="109" t="s">
        <v>689</v>
      </c>
    </row>
    <row r="214" spans="1:4" x14ac:dyDescent="0.25">
      <c r="A214" s="109" t="s">
        <v>690</v>
      </c>
      <c r="B214" s="109">
        <v>803</v>
      </c>
      <c r="D214" s="109" t="s">
        <v>690</v>
      </c>
    </row>
    <row r="215" spans="1:4" x14ac:dyDescent="0.25">
      <c r="A215" s="109" t="s">
        <v>691</v>
      </c>
      <c r="B215" s="109">
        <v>636</v>
      </c>
      <c r="D215" s="109" t="s">
        <v>691</v>
      </c>
    </row>
    <row r="216" spans="1:4" x14ac:dyDescent="0.25">
      <c r="A216" s="109" t="s">
        <v>692</v>
      </c>
      <c r="B216" s="109">
        <v>650</v>
      </c>
      <c r="D216" s="109" t="s">
        <v>692</v>
      </c>
    </row>
    <row r="217" spans="1:4" x14ac:dyDescent="0.25">
      <c r="A217" s="109" t="s">
        <v>693</v>
      </c>
      <c r="B217" s="109">
        <v>687</v>
      </c>
      <c r="D217" s="109" t="s">
        <v>693</v>
      </c>
    </row>
    <row r="218" spans="1:4" x14ac:dyDescent="0.25">
      <c r="A218" s="109" t="s">
        <v>694</v>
      </c>
      <c r="B218" s="109">
        <v>677</v>
      </c>
      <c r="D218" s="109" t="s">
        <v>694</v>
      </c>
    </row>
    <row r="219" spans="1:4" x14ac:dyDescent="0.25">
      <c r="A219" s="109" t="s">
        <v>695</v>
      </c>
      <c r="B219" s="109">
        <v>739</v>
      </c>
      <c r="D219" s="109" t="s">
        <v>695</v>
      </c>
    </row>
    <row r="220" spans="1:4" x14ac:dyDescent="0.25">
      <c r="A220" s="109" t="s">
        <v>696</v>
      </c>
      <c r="B220" s="109">
        <v>631</v>
      </c>
      <c r="D220" s="109" t="s">
        <v>1010</v>
      </c>
    </row>
    <row r="221" spans="1:4" x14ac:dyDescent="0.25">
      <c r="A221" s="109" t="s">
        <v>697</v>
      </c>
      <c r="B221" s="109">
        <v>668</v>
      </c>
      <c r="D221" s="109" t="s">
        <v>696</v>
      </c>
    </row>
    <row r="222" spans="1:4" x14ac:dyDescent="0.25">
      <c r="A222" s="202" t="s">
        <v>698</v>
      </c>
      <c r="B222" s="202">
        <v>694</v>
      </c>
      <c r="D222" s="202" t="s">
        <v>698</v>
      </c>
    </row>
    <row r="225" spans="1:3" x14ac:dyDescent="0.25">
      <c r="A225" s="273" t="s">
        <v>371</v>
      </c>
      <c r="B225" s="88"/>
    </row>
    <row r="226" spans="1:3" x14ac:dyDescent="0.25">
      <c r="A226" t="s">
        <v>778</v>
      </c>
      <c r="B226">
        <v>15</v>
      </c>
      <c r="C226" t="s">
        <v>775</v>
      </c>
    </row>
    <row r="227" spans="1:3" x14ac:dyDescent="0.25">
      <c r="A227" t="s">
        <v>779</v>
      </c>
      <c r="B227">
        <v>8</v>
      </c>
      <c r="C227" t="s">
        <v>775</v>
      </c>
    </row>
    <row r="228" spans="1:3" x14ac:dyDescent="0.25">
      <c r="A228" t="s">
        <v>776</v>
      </c>
      <c r="B228">
        <v>305</v>
      </c>
      <c r="C228" t="s">
        <v>777</v>
      </c>
    </row>
  </sheetData>
  <sheetProtection password="F7E5" sheet="1" objects="1" scenarios="1"/>
  <mergeCells count="4">
    <mergeCell ref="D102:E104"/>
    <mergeCell ref="J52:J53"/>
    <mergeCell ref="M52:M53"/>
    <mergeCell ref="N52:N53"/>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tabColor rgb="FFFF6699"/>
  </sheetPr>
  <dimension ref="A1:AM294"/>
  <sheetViews>
    <sheetView showGridLines="0" showRowColHeaders="0" workbookViewId="0">
      <selection activeCell="C32" sqref="C32"/>
    </sheetView>
  </sheetViews>
  <sheetFormatPr baseColWidth="10" defaultRowHeight="15" x14ac:dyDescent="0.25"/>
  <cols>
    <col min="1" max="1" width="8.28515625" style="311" customWidth="1"/>
    <col min="2" max="2" width="27.5703125" style="311" customWidth="1"/>
    <col min="3" max="3" width="13.140625" style="311" customWidth="1"/>
    <col min="4" max="4" width="12.140625" style="311" customWidth="1"/>
    <col min="5" max="5" width="13.7109375" style="311" customWidth="1"/>
    <col min="6" max="6" width="15.5703125" style="311" customWidth="1"/>
    <col min="7" max="7" width="11.42578125" style="311" customWidth="1"/>
    <col min="8" max="8" width="23.85546875" style="311" customWidth="1"/>
    <col min="9" max="9" width="11.42578125" style="311" customWidth="1"/>
    <col min="10" max="21" width="11.42578125" style="905" customWidth="1"/>
    <col min="22" max="33" width="11.42578125" style="905"/>
  </cols>
  <sheetData>
    <row r="1" spans="1:33" x14ac:dyDescent="0.25">
      <c r="A1" s="312"/>
      <c r="B1" s="312"/>
      <c r="C1" s="312"/>
      <c r="D1" s="312"/>
      <c r="E1" s="312"/>
      <c r="F1" s="312"/>
      <c r="G1" s="312"/>
      <c r="H1" s="312"/>
      <c r="I1" s="312"/>
      <c r="J1" s="958"/>
      <c r="K1" s="958"/>
      <c r="L1" s="904"/>
      <c r="M1" s="904"/>
      <c r="N1" s="904"/>
      <c r="O1" s="904"/>
      <c r="P1" s="904"/>
      <c r="Q1" s="904"/>
      <c r="R1" s="904"/>
      <c r="S1" s="904"/>
      <c r="T1" s="904"/>
      <c r="U1" s="904"/>
      <c r="V1" s="904"/>
      <c r="W1" s="904"/>
      <c r="X1" s="904"/>
      <c r="Y1" s="904"/>
    </row>
    <row r="2" spans="1:33" ht="26.25" x14ac:dyDescent="0.4">
      <c r="A2" s="426" t="s">
        <v>978</v>
      </c>
      <c r="B2" s="424"/>
      <c r="C2" s="425"/>
      <c r="D2" s="423"/>
      <c r="E2" s="423"/>
      <c r="F2" s="423"/>
      <c r="G2" s="423"/>
      <c r="H2" s="312"/>
      <c r="I2" s="312"/>
      <c r="J2" s="958"/>
      <c r="K2" s="958"/>
      <c r="L2" s="904"/>
      <c r="M2" s="904"/>
      <c r="N2" s="904"/>
      <c r="O2" s="904"/>
      <c r="P2" s="904"/>
      <c r="Q2" s="904"/>
      <c r="R2" s="904"/>
      <c r="S2" s="904"/>
      <c r="T2" s="904"/>
      <c r="U2" s="904"/>
      <c r="V2" s="904"/>
      <c r="W2" s="904"/>
      <c r="X2" s="904"/>
      <c r="Y2" s="942"/>
    </row>
    <row r="3" spans="1:33" x14ac:dyDescent="0.25">
      <c r="A3" s="312"/>
      <c r="B3" s="313"/>
      <c r="C3" s="313"/>
      <c r="D3" s="313"/>
      <c r="E3" s="313"/>
      <c r="F3" s="313"/>
      <c r="G3" s="313"/>
      <c r="H3" s="312"/>
      <c r="I3" s="312"/>
      <c r="J3" s="958"/>
      <c r="K3" s="958"/>
      <c r="L3" s="904"/>
      <c r="M3" s="904"/>
      <c r="N3" s="904"/>
      <c r="O3" s="904"/>
      <c r="P3" s="904"/>
      <c r="Q3" s="904"/>
      <c r="R3" s="904"/>
      <c r="S3" s="904"/>
      <c r="T3" s="904"/>
      <c r="U3" s="904"/>
      <c r="V3" s="904"/>
      <c r="W3" s="904"/>
      <c r="X3" s="904"/>
      <c r="Y3" s="904"/>
    </row>
    <row r="4" spans="1:33" s="291" customFormat="1" x14ac:dyDescent="0.25">
      <c r="A4" s="312"/>
      <c r="B4" s="313"/>
      <c r="C4" s="313"/>
      <c r="D4" s="313"/>
      <c r="E4" s="313"/>
      <c r="F4" s="313"/>
      <c r="G4" s="313"/>
      <c r="H4" s="312"/>
      <c r="I4" s="312"/>
      <c r="J4" s="958"/>
      <c r="K4" s="958"/>
      <c r="L4" s="904"/>
      <c r="M4" s="904"/>
      <c r="N4" s="904"/>
      <c r="O4" s="904"/>
      <c r="P4" s="904"/>
      <c r="Q4" s="904"/>
      <c r="R4" s="904"/>
      <c r="S4" s="904"/>
      <c r="T4" s="904"/>
      <c r="U4" s="904"/>
      <c r="V4" s="904"/>
      <c r="W4" s="904"/>
      <c r="X4" s="904"/>
      <c r="Y4" s="904"/>
      <c r="Z4" s="905"/>
      <c r="AA4" s="905"/>
      <c r="AB4" s="905"/>
      <c r="AC4" s="905"/>
      <c r="AD4" s="905"/>
      <c r="AE4" s="905"/>
      <c r="AF4" s="905"/>
      <c r="AG4" s="905"/>
    </row>
    <row r="5" spans="1:33" s="291" customFormat="1" x14ac:dyDescent="0.25">
      <c r="A5" s="312"/>
      <c r="B5" s="326" t="s">
        <v>877</v>
      </c>
      <c r="C5" s="314" t="s">
        <v>453</v>
      </c>
      <c r="D5" s="314" t="s">
        <v>453</v>
      </c>
      <c r="E5" s="314" t="s">
        <v>454</v>
      </c>
      <c r="F5" s="314" t="s">
        <v>454</v>
      </c>
      <c r="G5" s="313"/>
      <c r="H5" s="312"/>
      <c r="I5" s="312"/>
      <c r="J5" s="958"/>
      <c r="K5" s="958"/>
      <c r="L5" s="904"/>
      <c r="M5" s="904"/>
      <c r="N5" s="904"/>
      <c r="O5" s="904"/>
      <c r="P5" s="904"/>
      <c r="Q5" s="904"/>
      <c r="R5" s="904"/>
      <c r="S5" s="904"/>
      <c r="T5" s="904"/>
      <c r="U5" s="904"/>
      <c r="V5" s="904"/>
      <c r="W5" s="904"/>
      <c r="X5" s="904"/>
      <c r="Y5" s="904"/>
      <c r="Z5" s="905"/>
      <c r="AA5" s="905"/>
      <c r="AB5" s="905"/>
      <c r="AC5" s="905"/>
      <c r="AD5" s="905"/>
      <c r="AE5" s="905"/>
      <c r="AF5" s="905"/>
      <c r="AG5" s="905"/>
    </row>
    <row r="6" spans="1:33" s="291" customFormat="1" x14ac:dyDescent="0.25">
      <c r="A6" s="312"/>
      <c r="B6" s="313"/>
      <c r="C6" s="314" t="s">
        <v>455</v>
      </c>
      <c r="D6" s="314" t="s">
        <v>456</v>
      </c>
      <c r="E6" s="314" t="s">
        <v>457</v>
      </c>
      <c r="F6" s="314" t="s">
        <v>458</v>
      </c>
      <c r="G6" s="313"/>
      <c r="H6" s="312"/>
      <c r="I6" s="312"/>
      <c r="J6" s="958"/>
      <c r="K6" s="958"/>
      <c r="L6" s="904"/>
      <c r="M6" s="904"/>
      <c r="N6" s="904"/>
      <c r="O6" s="904"/>
      <c r="P6" s="904"/>
      <c r="Q6" s="904"/>
      <c r="R6" s="904"/>
      <c r="S6" s="904"/>
      <c r="T6" s="904"/>
      <c r="U6" s="904"/>
      <c r="V6" s="904"/>
      <c r="W6" s="904"/>
      <c r="X6" s="904"/>
      <c r="Y6" s="904"/>
      <c r="Z6" s="905"/>
      <c r="AA6" s="905"/>
      <c r="AB6" s="905"/>
      <c r="AC6" s="905"/>
      <c r="AD6" s="905"/>
      <c r="AE6" s="905"/>
      <c r="AF6" s="905"/>
      <c r="AG6" s="905"/>
    </row>
    <row r="7" spans="1:33" s="291" customFormat="1" x14ac:dyDescent="0.25">
      <c r="A7" s="312"/>
      <c r="B7" s="315" t="s">
        <v>459</v>
      </c>
      <c r="C7" s="615"/>
      <c r="D7" s="615"/>
      <c r="E7" s="615"/>
      <c r="F7" s="638"/>
      <c r="G7" s="313"/>
      <c r="H7" s="312"/>
      <c r="I7" s="312"/>
      <c r="J7" s="958"/>
      <c r="K7" s="958"/>
      <c r="L7" s="904"/>
      <c r="M7" s="904"/>
      <c r="N7" s="904"/>
      <c r="O7" s="904"/>
      <c r="P7" s="904"/>
      <c r="Q7" s="904"/>
      <c r="R7" s="904"/>
      <c r="S7" s="904"/>
      <c r="T7" s="904"/>
      <c r="U7" s="904"/>
      <c r="V7" s="904"/>
      <c r="W7" s="904"/>
      <c r="X7" s="904"/>
      <c r="Y7" s="904"/>
      <c r="Z7" s="905"/>
      <c r="AA7" s="905"/>
      <c r="AB7" s="905"/>
      <c r="AC7" s="905"/>
      <c r="AD7" s="905"/>
      <c r="AE7" s="905"/>
      <c r="AF7" s="905"/>
      <c r="AG7" s="905"/>
    </row>
    <row r="8" spans="1:33" s="291" customFormat="1" x14ac:dyDescent="0.25">
      <c r="A8" s="312"/>
      <c r="B8" s="316" t="s">
        <v>460</v>
      </c>
      <c r="C8" s="617"/>
      <c r="D8" s="617"/>
      <c r="E8" s="617"/>
      <c r="F8" s="639"/>
      <c r="G8" s="313"/>
      <c r="H8" s="312"/>
      <c r="I8" s="312"/>
      <c r="J8" s="958"/>
      <c r="K8" s="958"/>
      <c r="L8" s="904"/>
      <c r="M8" s="904"/>
      <c r="N8" s="904"/>
      <c r="O8" s="904"/>
      <c r="P8" s="904"/>
      <c r="Q8" s="904"/>
      <c r="R8" s="904"/>
      <c r="S8" s="904"/>
      <c r="T8" s="904"/>
      <c r="U8" s="904"/>
      <c r="V8" s="904"/>
      <c r="W8" s="904"/>
      <c r="X8" s="904"/>
      <c r="Y8" s="904"/>
      <c r="Z8" s="905"/>
      <c r="AA8" s="905"/>
      <c r="AB8" s="905"/>
      <c r="AC8" s="905"/>
      <c r="AD8" s="905"/>
      <c r="AE8" s="905"/>
      <c r="AF8" s="905"/>
      <c r="AG8" s="905"/>
    </row>
    <row r="9" spans="1:33" s="291" customFormat="1" x14ac:dyDescent="0.25">
      <c r="A9" s="312"/>
      <c r="B9" s="316" t="s">
        <v>461</v>
      </c>
      <c r="C9" s="617"/>
      <c r="D9" s="617"/>
      <c r="E9" s="617"/>
      <c r="F9" s="639"/>
      <c r="G9" s="313"/>
      <c r="H9" s="312"/>
      <c r="I9" s="312"/>
      <c r="J9" s="958"/>
      <c r="K9" s="958"/>
      <c r="L9" s="904"/>
      <c r="M9" s="904"/>
      <c r="N9" s="904"/>
      <c r="O9" s="904"/>
      <c r="P9" s="904"/>
      <c r="Q9" s="904"/>
      <c r="R9" s="904"/>
      <c r="S9" s="904"/>
      <c r="T9" s="904"/>
      <c r="U9" s="904"/>
      <c r="V9" s="904"/>
      <c r="W9" s="904"/>
      <c r="X9" s="904"/>
      <c r="Y9" s="904"/>
      <c r="Z9" s="905"/>
      <c r="AA9" s="905"/>
      <c r="AB9" s="905"/>
      <c r="AC9" s="905"/>
      <c r="AD9" s="905"/>
      <c r="AE9" s="905"/>
      <c r="AF9" s="905"/>
      <c r="AG9" s="905"/>
    </row>
    <row r="10" spans="1:33" s="291" customFormat="1" x14ac:dyDescent="0.25">
      <c r="A10" s="312"/>
      <c r="B10" s="317" t="s">
        <v>462</v>
      </c>
      <c r="C10" s="622"/>
      <c r="D10" s="622"/>
      <c r="E10" s="622"/>
      <c r="F10" s="640"/>
      <c r="G10" s="313"/>
      <c r="H10" s="312"/>
      <c r="I10" s="312"/>
      <c r="J10" s="958"/>
      <c r="K10" s="958"/>
      <c r="L10" s="904"/>
      <c r="M10" s="904"/>
      <c r="N10" s="904"/>
      <c r="O10" s="904"/>
      <c r="P10" s="904"/>
      <c r="Q10" s="904"/>
      <c r="R10" s="904"/>
      <c r="S10" s="904"/>
      <c r="T10" s="904"/>
      <c r="U10" s="904"/>
      <c r="V10" s="904"/>
      <c r="W10" s="904"/>
      <c r="X10" s="904"/>
      <c r="Y10" s="904"/>
      <c r="Z10" s="905"/>
      <c r="AA10" s="905"/>
      <c r="AB10" s="905"/>
      <c r="AC10" s="905"/>
      <c r="AD10" s="905"/>
      <c r="AE10" s="905"/>
      <c r="AF10" s="905"/>
      <c r="AG10" s="905"/>
    </row>
    <row r="11" spans="1:33" s="291" customFormat="1" x14ac:dyDescent="0.25">
      <c r="A11" s="312"/>
      <c r="B11" s="313"/>
      <c r="C11" s="313"/>
      <c r="D11" s="313"/>
      <c r="E11" s="313"/>
      <c r="F11" s="313"/>
      <c r="G11" s="313"/>
      <c r="H11" s="312"/>
      <c r="I11" s="312"/>
      <c r="J11" s="958"/>
      <c r="K11" s="958"/>
      <c r="L11" s="904"/>
      <c r="M11" s="904"/>
      <c r="N11" s="904"/>
      <c r="O11" s="904"/>
      <c r="P11" s="904"/>
      <c r="Q11" s="904"/>
      <c r="R11" s="904"/>
      <c r="S11" s="904"/>
      <c r="T11" s="904"/>
      <c r="U11" s="904"/>
      <c r="V11" s="904"/>
      <c r="W11" s="904"/>
      <c r="X11" s="904"/>
      <c r="Y11" s="904"/>
      <c r="Z11" s="905"/>
      <c r="AA11" s="905"/>
      <c r="AB11" s="905"/>
      <c r="AC11" s="905"/>
      <c r="AD11" s="905"/>
      <c r="AE11" s="905"/>
      <c r="AF11" s="905"/>
      <c r="AG11" s="905"/>
    </row>
    <row r="12" spans="1:33" s="291" customFormat="1" x14ac:dyDescent="0.25">
      <c r="A12" s="312"/>
      <c r="B12" s="313"/>
      <c r="C12" s="313"/>
      <c r="D12" s="313"/>
      <c r="E12" s="313"/>
      <c r="F12" s="313"/>
      <c r="G12" s="313"/>
      <c r="H12" s="312"/>
      <c r="I12" s="312"/>
      <c r="J12" s="958"/>
      <c r="K12" s="958"/>
      <c r="L12" s="904"/>
      <c r="M12" s="904"/>
      <c r="N12" s="904"/>
      <c r="O12" s="904"/>
      <c r="P12" s="904"/>
      <c r="Q12" s="904"/>
      <c r="R12" s="904"/>
      <c r="S12" s="904"/>
      <c r="T12" s="904"/>
      <c r="U12" s="904"/>
      <c r="V12" s="904"/>
      <c r="W12" s="904"/>
      <c r="X12" s="904"/>
      <c r="Y12" s="904"/>
      <c r="Z12" s="905"/>
      <c r="AA12" s="905"/>
      <c r="AB12" s="905"/>
      <c r="AC12" s="905"/>
      <c r="AD12" s="905"/>
      <c r="AE12" s="905"/>
      <c r="AF12" s="905"/>
      <c r="AG12" s="905"/>
    </row>
    <row r="13" spans="1:33" s="291" customFormat="1" x14ac:dyDescent="0.25">
      <c r="A13" s="312"/>
      <c r="B13" s="326" t="s">
        <v>878</v>
      </c>
      <c r="C13" s="318" t="s">
        <v>4</v>
      </c>
      <c r="D13" s="318" t="s">
        <v>463</v>
      </c>
      <c r="E13" s="318" t="s">
        <v>1169</v>
      </c>
      <c r="F13" s="319" t="s">
        <v>465</v>
      </c>
      <c r="G13" s="313"/>
      <c r="H13" s="312"/>
      <c r="I13" s="312"/>
      <c r="J13" s="958"/>
      <c r="K13" s="958"/>
      <c r="L13" s="904"/>
      <c r="M13" s="904"/>
      <c r="N13" s="904"/>
      <c r="O13" s="904"/>
      <c r="P13" s="904"/>
      <c r="Q13" s="904"/>
      <c r="R13" s="904"/>
      <c r="S13" s="904"/>
      <c r="T13" s="904"/>
      <c r="U13" s="904"/>
      <c r="V13" s="904"/>
      <c r="W13" s="904"/>
      <c r="X13" s="904"/>
      <c r="Y13" s="904"/>
      <c r="Z13" s="905"/>
      <c r="AA13" s="905"/>
      <c r="AB13" s="905"/>
      <c r="AC13" s="905"/>
      <c r="AD13" s="905"/>
      <c r="AE13" s="905"/>
      <c r="AF13" s="905"/>
      <c r="AG13" s="905"/>
    </row>
    <row r="14" spans="1:33" s="291" customFormat="1" x14ac:dyDescent="0.25">
      <c r="A14" s="312"/>
      <c r="B14" s="313"/>
      <c r="C14" s="320"/>
      <c r="D14" s="320" t="s">
        <v>466</v>
      </c>
      <c r="E14" s="320"/>
      <c r="F14" s="321" t="s">
        <v>467</v>
      </c>
      <c r="G14" s="313"/>
      <c r="H14" s="312"/>
      <c r="I14" s="312"/>
      <c r="J14" s="958"/>
      <c r="K14" s="958"/>
      <c r="L14" s="904"/>
      <c r="M14" s="904"/>
      <c r="N14" s="904"/>
      <c r="O14" s="904"/>
      <c r="P14" s="904"/>
      <c r="Q14" s="904"/>
      <c r="R14" s="904"/>
      <c r="S14" s="904"/>
      <c r="T14" s="904"/>
      <c r="U14" s="904"/>
      <c r="V14" s="904"/>
      <c r="W14" s="904"/>
      <c r="X14" s="904"/>
      <c r="Y14" s="904"/>
      <c r="Z14" s="905"/>
      <c r="AA14" s="905"/>
      <c r="AB14" s="905"/>
      <c r="AC14" s="905"/>
      <c r="AD14" s="905"/>
      <c r="AE14" s="905"/>
      <c r="AF14" s="905"/>
      <c r="AG14" s="905"/>
    </row>
    <row r="15" spans="1:33" s="291" customFormat="1" x14ac:dyDescent="0.25">
      <c r="A15" s="312"/>
      <c r="B15" s="315" t="s">
        <v>468</v>
      </c>
      <c r="C15" s="615"/>
      <c r="D15" s="616"/>
      <c r="E15" s="616"/>
      <c r="F15" s="322">
        <f>C15*D15</f>
        <v>0</v>
      </c>
      <c r="G15" s="313"/>
      <c r="H15" s="312"/>
      <c r="I15" s="312"/>
      <c r="J15" s="958"/>
      <c r="K15" s="958"/>
      <c r="L15" s="904"/>
      <c r="M15" s="904"/>
      <c r="N15" s="904"/>
      <c r="O15" s="904"/>
      <c r="P15" s="904"/>
      <c r="Q15" s="904"/>
      <c r="R15" s="904"/>
      <c r="S15" s="904"/>
      <c r="T15" s="904"/>
      <c r="U15" s="904"/>
      <c r="V15" s="904"/>
      <c r="W15" s="904"/>
      <c r="X15" s="904"/>
      <c r="Y15" s="904"/>
      <c r="Z15" s="905"/>
      <c r="AA15" s="905"/>
      <c r="AB15" s="905"/>
      <c r="AC15" s="905"/>
      <c r="AD15" s="905"/>
      <c r="AE15" s="905"/>
      <c r="AF15" s="905"/>
      <c r="AG15" s="905"/>
    </row>
    <row r="16" spans="1:33" s="291" customFormat="1" x14ac:dyDescent="0.25">
      <c r="A16" s="312"/>
      <c r="B16" s="316" t="s">
        <v>469</v>
      </c>
      <c r="C16" s="617"/>
      <c r="D16" s="618"/>
      <c r="E16" s="618"/>
      <c r="F16" s="323">
        <f>C16*D16</f>
        <v>0</v>
      </c>
      <c r="G16" s="313"/>
      <c r="H16" s="312"/>
      <c r="I16" s="312"/>
      <c r="J16" s="958"/>
      <c r="K16" s="958"/>
      <c r="L16" s="904"/>
      <c r="M16" s="904"/>
      <c r="N16" s="904"/>
      <c r="O16" s="904"/>
      <c r="P16" s="904"/>
      <c r="Q16" s="904"/>
      <c r="R16" s="904"/>
      <c r="S16" s="904"/>
      <c r="T16" s="904"/>
      <c r="U16" s="904"/>
      <c r="V16" s="904"/>
      <c r="W16" s="904"/>
      <c r="X16" s="904"/>
      <c r="Y16" s="904"/>
      <c r="Z16" s="905"/>
      <c r="AA16" s="905"/>
      <c r="AB16" s="905"/>
      <c r="AC16" s="905"/>
      <c r="AD16" s="905"/>
      <c r="AE16" s="905"/>
      <c r="AF16" s="905"/>
      <c r="AG16" s="905"/>
    </row>
    <row r="17" spans="1:33" s="291" customFormat="1" x14ac:dyDescent="0.25">
      <c r="A17" s="312"/>
      <c r="B17" s="316" t="s">
        <v>470</v>
      </c>
      <c r="C17" s="617"/>
      <c r="D17" s="618"/>
      <c r="E17" s="618"/>
      <c r="F17" s="323">
        <f>C17*D17</f>
        <v>0</v>
      </c>
      <c r="G17" s="313"/>
      <c r="H17" s="312"/>
      <c r="I17" s="312"/>
      <c r="J17" s="958"/>
      <c r="K17" s="958"/>
      <c r="L17" s="904"/>
      <c r="M17" s="904"/>
      <c r="N17" s="904"/>
      <c r="O17" s="904"/>
      <c r="P17" s="904"/>
      <c r="Q17" s="904"/>
      <c r="R17" s="904"/>
      <c r="S17" s="904"/>
      <c r="T17" s="904"/>
      <c r="U17" s="904"/>
      <c r="V17" s="904"/>
      <c r="W17" s="904"/>
      <c r="X17" s="904"/>
      <c r="Y17" s="904"/>
      <c r="Z17" s="905"/>
      <c r="AA17" s="905"/>
      <c r="AB17" s="905"/>
      <c r="AC17" s="905"/>
      <c r="AD17" s="905"/>
      <c r="AE17" s="905"/>
      <c r="AF17" s="905"/>
      <c r="AG17" s="905"/>
    </row>
    <row r="18" spans="1:33" s="291" customFormat="1" x14ac:dyDescent="0.25">
      <c r="A18" s="312"/>
      <c r="B18" s="316" t="s">
        <v>471</v>
      </c>
      <c r="C18" s="617"/>
      <c r="D18" s="618"/>
      <c r="E18" s="618"/>
      <c r="F18" s="323"/>
      <c r="G18" s="313"/>
      <c r="H18" s="312"/>
      <c r="I18" s="312"/>
      <c r="J18" s="958"/>
      <c r="K18" s="958"/>
      <c r="L18" s="904"/>
      <c r="M18" s="904"/>
      <c r="N18" s="904"/>
      <c r="O18" s="904"/>
      <c r="P18" s="904"/>
      <c r="Q18" s="904"/>
      <c r="R18" s="904"/>
      <c r="S18" s="904"/>
      <c r="T18" s="904"/>
      <c r="U18" s="904"/>
      <c r="V18" s="904"/>
      <c r="W18" s="904"/>
      <c r="X18" s="904"/>
      <c r="Y18" s="904"/>
      <c r="Z18" s="905"/>
      <c r="AA18" s="905"/>
      <c r="AB18" s="905"/>
      <c r="AC18" s="905"/>
      <c r="AD18" s="905"/>
      <c r="AE18" s="905"/>
      <c r="AF18" s="905"/>
      <c r="AG18" s="905"/>
    </row>
    <row r="19" spans="1:33" s="291" customFormat="1" x14ac:dyDescent="0.25">
      <c r="A19" s="312"/>
      <c r="B19" s="316" t="s">
        <v>472</v>
      </c>
      <c r="C19" s="617"/>
      <c r="D19" s="618"/>
      <c r="E19" s="504"/>
      <c r="F19" s="323"/>
      <c r="G19" s="313"/>
      <c r="H19" s="312"/>
      <c r="I19" s="312"/>
      <c r="J19" s="958"/>
      <c r="K19" s="958"/>
      <c r="L19" s="904"/>
      <c r="M19" s="904"/>
      <c r="N19" s="904"/>
      <c r="O19" s="904"/>
      <c r="P19" s="904"/>
      <c r="Q19" s="904"/>
      <c r="R19" s="904"/>
      <c r="S19" s="904"/>
      <c r="T19" s="904"/>
      <c r="U19" s="904"/>
      <c r="V19" s="904"/>
      <c r="W19" s="904"/>
      <c r="X19" s="904"/>
      <c r="Y19" s="904"/>
      <c r="Z19" s="905"/>
      <c r="AA19" s="905"/>
      <c r="AB19" s="905"/>
      <c r="AC19" s="905"/>
      <c r="AD19" s="905"/>
      <c r="AE19" s="905"/>
      <c r="AF19" s="905"/>
      <c r="AG19" s="905"/>
    </row>
    <row r="20" spans="1:33" s="291" customFormat="1" x14ac:dyDescent="0.25">
      <c r="A20" s="312"/>
      <c r="B20" s="317" t="s">
        <v>1058</v>
      </c>
      <c r="C20" s="505"/>
      <c r="D20" s="505"/>
      <c r="E20" s="505"/>
      <c r="F20" s="619"/>
      <c r="G20" s="313"/>
      <c r="H20" s="312"/>
      <c r="I20" s="312"/>
      <c r="J20" s="958"/>
      <c r="K20" s="958"/>
      <c r="L20" s="904"/>
      <c r="M20" s="904"/>
      <c r="N20" s="904"/>
      <c r="O20" s="904"/>
      <c r="P20" s="904"/>
      <c r="Q20" s="904"/>
      <c r="R20" s="904"/>
      <c r="S20" s="904"/>
      <c r="T20" s="904"/>
      <c r="U20" s="904"/>
      <c r="V20" s="904"/>
      <c r="W20" s="904"/>
      <c r="X20" s="904"/>
      <c r="Y20" s="904"/>
      <c r="Z20" s="905"/>
      <c r="AA20" s="905"/>
      <c r="AB20" s="905"/>
      <c r="AC20" s="905"/>
      <c r="AD20" s="905"/>
      <c r="AE20" s="905"/>
      <c r="AF20" s="905"/>
      <c r="AG20" s="905"/>
    </row>
    <row r="21" spans="1:33" s="291" customFormat="1" x14ac:dyDescent="0.25">
      <c r="A21" s="312"/>
      <c r="B21" s="313"/>
      <c r="C21" s="313"/>
      <c r="D21" s="313"/>
      <c r="E21" s="313"/>
      <c r="F21" s="324"/>
      <c r="G21" s="313"/>
      <c r="H21" s="312"/>
      <c r="I21" s="312"/>
      <c r="J21" s="958"/>
      <c r="K21" s="958"/>
      <c r="L21" s="904"/>
      <c r="M21" s="904"/>
      <c r="N21" s="904"/>
      <c r="O21" s="904"/>
      <c r="P21" s="904"/>
      <c r="Q21" s="904"/>
      <c r="R21" s="904"/>
      <c r="S21" s="904"/>
      <c r="T21" s="904"/>
      <c r="U21" s="904"/>
      <c r="V21" s="904"/>
      <c r="W21" s="904"/>
      <c r="X21" s="904"/>
      <c r="Y21" s="904"/>
      <c r="Z21" s="905"/>
      <c r="AA21" s="905"/>
      <c r="AB21" s="905"/>
      <c r="AC21" s="905"/>
      <c r="AD21" s="905"/>
      <c r="AE21" s="905"/>
      <c r="AF21" s="905"/>
      <c r="AG21" s="905"/>
    </row>
    <row r="22" spans="1:33" s="291" customFormat="1" x14ac:dyDescent="0.25">
      <c r="A22" s="312"/>
      <c r="B22" s="326" t="s">
        <v>879</v>
      </c>
      <c r="C22" s="318" t="s">
        <v>4</v>
      </c>
      <c r="D22" s="318" t="s">
        <v>463</v>
      </c>
      <c r="E22" s="318" t="s">
        <v>1169</v>
      </c>
      <c r="F22" s="313"/>
      <c r="G22" s="313"/>
      <c r="H22" s="312"/>
      <c r="I22" s="312"/>
      <c r="J22" s="958"/>
      <c r="K22" s="958"/>
      <c r="L22" s="904"/>
      <c r="M22" s="904"/>
      <c r="N22" s="904"/>
      <c r="O22" s="904"/>
      <c r="P22" s="904"/>
      <c r="Q22" s="904"/>
      <c r="R22" s="904"/>
      <c r="S22" s="904"/>
      <c r="T22" s="904"/>
      <c r="U22" s="904"/>
      <c r="V22" s="904"/>
      <c r="W22" s="904"/>
      <c r="X22" s="904"/>
      <c r="Y22" s="904"/>
      <c r="Z22" s="905"/>
      <c r="AA22" s="905"/>
      <c r="AB22" s="905"/>
      <c r="AC22" s="905"/>
      <c r="AD22" s="905"/>
      <c r="AE22" s="905"/>
      <c r="AF22" s="905"/>
      <c r="AG22" s="905"/>
    </row>
    <row r="23" spans="1:33" s="291" customFormat="1" x14ac:dyDescent="0.25">
      <c r="A23" s="312"/>
      <c r="B23" s="313"/>
      <c r="C23" s="320"/>
      <c r="D23" s="320" t="s">
        <v>17</v>
      </c>
      <c r="E23" s="325"/>
      <c r="F23" s="313"/>
      <c r="G23" s="313"/>
      <c r="H23" s="312"/>
      <c r="I23" s="312"/>
      <c r="J23" s="958"/>
      <c r="K23" s="958"/>
      <c r="L23" s="904"/>
      <c r="M23" s="904"/>
      <c r="N23" s="904"/>
      <c r="O23" s="904"/>
      <c r="P23" s="904"/>
      <c r="Q23" s="904"/>
      <c r="R23" s="904"/>
      <c r="S23" s="904"/>
      <c r="T23" s="904"/>
      <c r="U23" s="904"/>
      <c r="V23" s="904"/>
      <c r="W23" s="904"/>
      <c r="X23" s="904"/>
      <c r="Y23" s="904"/>
      <c r="Z23" s="905"/>
      <c r="AA23" s="905"/>
      <c r="AB23" s="905"/>
      <c r="AC23" s="905"/>
      <c r="AD23" s="905"/>
      <c r="AE23" s="905"/>
      <c r="AF23" s="905"/>
      <c r="AG23" s="905"/>
    </row>
    <row r="24" spans="1:33" s="291" customFormat="1" x14ac:dyDescent="0.25">
      <c r="A24" s="312"/>
      <c r="B24" s="315" t="s">
        <v>468</v>
      </c>
      <c r="C24" s="615"/>
      <c r="D24" s="620"/>
      <c r="E24" s="616"/>
      <c r="F24" s="313"/>
      <c r="G24" s="313"/>
      <c r="H24" s="312"/>
      <c r="I24" s="312"/>
      <c r="J24" s="958"/>
      <c r="K24" s="958"/>
      <c r="L24" s="904"/>
      <c r="M24" s="904"/>
      <c r="N24" s="904"/>
      <c r="O24" s="904"/>
      <c r="P24" s="904"/>
      <c r="Q24" s="904"/>
      <c r="R24" s="904"/>
      <c r="S24" s="904"/>
      <c r="T24" s="904"/>
      <c r="U24" s="904"/>
      <c r="V24" s="904"/>
      <c r="W24" s="904"/>
      <c r="X24" s="904"/>
      <c r="Y24" s="904"/>
      <c r="Z24" s="905"/>
      <c r="AA24" s="905"/>
      <c r="AB24" s="905"/>
      <c r="AC24" s="905"/>
      <c r="AD24" s="905"/>
      <c r="AE24" s="905"/>
      <c r="AF24" s="905"/>
      <c r="AG24" s="905"/>
    </row>
    <row r="25" spans="1:33" s="291" customFormat="1" x14ac:dyDescent="0.25">
      <c r="A25" s="312"/>
      <c r="B25" s="316" t="s">
        <v>469</v>
      </c>
      <c r="C25" s="617"/>
      <c r="D25" s="621"/>
      <c r="E25" s="618"/>
      <c r="F25" s="313"/>
      <c r="G25" s="313"/>
      <c r="H25" s="312"/>
      <c r="I25" s="312"/>
      <c r="J25" s="958"/>
      <c r="K25" s="958"/>
      <c r="L25" s="904"/>
      <c r="M25" s="904"/>
      <c r="N25" s="904"/>
      <c r="O25" s="904"/>
      <c r="P25" s="904"/>
      <c r="Q25" s="904"/>
      <c r="R25" s="904"/>
      <c r="S25" s="904"/>
      <c r="T25" s="904"/>
      <c r="U25" s="904"/>
      <c r="V25" s="904"/>
      <c r="W25" s="904"/>
      <c r="X25" s="904"/>
      <c r="Y25" s="904"/>
      <c r="Z25" s="905"/>
      <c r="AA25" s="905"/>
      <c r="AB25" s="905"/>
      <c r="AC25" s="905"/>
      <c r="AD25" s="905"/>
      <c r="AE25" s="905"/>
      <c r="AF25" s="905"/>
      <c r="AG25" s="905"/>
    </row>
    <row r="26" spans="1:33" s="291" customFormat="1" x14ac:dyDescent="0.25">
      <c r="A26" s="312"/>
      <c r="B26" s="317" t="s">
        <v>474</v>
      </c>
      <c r="C26" s="622"/>
      <c r="D26" s="623"/>
      <c r="E26" s="624"/>
      <c r="F26" s="313"/>
      <c r="G26" s="313"/>
      <c r="H26" s="312"/>
      <c r="I26" s="312"/>
      <c r="J26" s="958"/>
      <c r="K26" s="958"/>
      <c r="L26" s="904"/>
      <c r="M26" s="904"/>
      <c r="N26" s="904"/>
      <c r="O26" s="904"/>
      <c r="P26" s="904"/>
      <c r="Q26" s="904"/>
      <c r="R26" s="904"/>
      <c r="S26" s="904"/>
      <c r="T26" s="904"/>
      <c r="U26" s="904"/>
      <c r="V26" s="904"/>
      <c r="W26" s="904"/>
      <c r="X26" s="904"/>
      <c r="Y26" s="904"/>
      <c r="Z26" s="905"/>
      <c r="AA26" s="905"/>
      <c r="AB26" s="905"/>
      <c r="AC26" s="905"/>
      <c r="AD26" s="905"/>
      <c r="AE26" s="905"/>
      <c r="AF26" s="905"/>
      <c r="AG26" s="905"/>
    </row>
    <row r="27" spans="1:33" s="291" customFormat="1" x14ac:dyDescent="0.25">
      <c r="A27" s="312"/>
      <c r="B27" s="313"/>
      <c r="C27" s="313"/>
      <c r="D27" s="313"/>
      <c r="E27" s="313"/>
      <c r="F27" s="313"/>
      <c r="G27" s="313"/>
      <c r="H27" s="312"/>
      <c r="I27" s="312"/>
      <c r="J27" s="958"/>
      <c r="K27" s="958"/>
      <c r="L27" s="904"/>
      <c r="M27" s="904"/>
      <c r="N27" s="904"/>
      <c r="O27" s="904"/>
      <c r="P27" s="904"/>
      <c r="Q27" s="904"/>
      <c r="R27" s="904"/>
      <c r="S27" s="904"/>
      <c r="T27" s="904"/>
      <c r="U27" s="904"/>
      <c r="V27" s="904"/>
      <c r="W27" s="904"/>
      <c r="X27" s="904"/>
      <c r="Y27" s="904"/>
      <c r="Z27" s="905"/>
      <c r="AA27" s="905"/>
      <c r="AB27" s="905"/>
      <c r="AC27" s="905"/>
      <c r="AD27" s="905"/>
      <c r="AE27" s="905"/>
      <c r="AF27" s="905"/>
      <c r="AG27" s="905"/>
    </row>
    <row r="28" spans="1:33" s="291" customFormat="1" x14ac:dyDescent="0.25">
      <c r="A28" s="312"/>
      <c r="B28" s="313"/>
      <c r="C28" s="313"/>
      <c r="D28" s="313"/>
      <c r="E28" s="313"/>
      <c r="F28" s="313"/>
      <c r="G28" s="313"/>
      <c r="H28" s="312"/>
      <c r="I28" s="312"/>
      <c r="J28" s="958"/>
      <c r="K28" s="958"/>
      <c r="L28" s="904"/>
      <c r="M28" s="904"/>
      <c r="N28" s="904"/>
      <c r="O28" s="904"/>
      <c r="P28" s="904"/>
      <c r="Q28" s="904"/>
      <c r="R28" s="904"/>
      <c r="S28" s="904"/>
      <c r="T28" s="904"/>
      <c r="U28" s="904"/>
      <c r="V28" s="904"/>
      <c r="W28" s="904"/>
      <c r="X28" s="904"/>
      <c r="Y28" s="904"/>
      <c r="Z28" s="905"/>
      <c r="AA28" s="905"/>
      <c r="AB28" s="905"/>
      <c r="AC28" s="905"/>
      <c r="AD28" s="905"/>
      <c r="AE28" s="905"/>
      <c r="AF28" s="905"/>
      <c r="AG28" s="905"/>
    </row>
    <row r="29" spans="1:33" s="291" customFormat="1" x14ac:dyDescent="0.25">
      <c r="A29" s="312"/>
      <c r="B29" s="313"/>
      <c r="C29" s="313"/>
      <c r="D29" s="313"/>
      <c r="E29" s="313"/>
      <c r="F29" s="313"/>
      <c r="G29" s="313"/>
      <c r="H29" s="312"/>
      <c r="I29" s="312"/>
      <c r="J29" s="958"/>
      <c r="K29" s="958"/>
      <c r="L29" s="904"/>
      <c r="M29" s="904"/>
      <c r="N29" s="904"/>
      <c r="O29" s="904"/>
      <c r="P29" s="904"/>
      <c r="Q29" s="904"/>
      <c r="R29" s="904"/>
      <c r="S29" s="904"/>
      <c r="T29" s="904"/>
      <c r="U29" s="904"/>
      <c r="V29" s="904"/>
      <c r="W29" s="904"/>
      <c r="X29" s="904"/>
      <c r="Y29" s="904"/>
      <c r="Z29" s="905"/>
      <c r="AA29" s="905"/>
      <c r="AB29" s="905"/>
      <c r="AC29" s="905"/>
      <c r="AD29" s="905"/>
      <c r="AE29" s="905"/>
      <c r="AF29" s="905"/>
      <c r="AG29" s="905"/>
    </row>
    <row r="30" spans="1:33" s="291" customFormat="1" x14ac:dyDescent="0.25">
      <c r="A30" s="901"/>
      <c r="B30" s="902"/>
      <c r="C30" s="902"/>
      <c r="D30" s="902"/>
      <c r="E30" s="902"/>
      <c r="F30" s="902"/>
      <c r="G30" s="902"/>
      <c r="H30" s="901"/>
      <c r="I30" s="901"/>
      <c r="J30" s="904"/>
      <c r="K30" s="904"/>
      <c r="L30" s="904"/>
      <c r="M30" s="904"/>
      <c r="N30" s="904"/>
      <c r="O30" s="904"/>
      <c r="P30" s="904"/>
      <c r="Q30" s="904"/>
      <c r="R30" s="904"/>
      <c r="S30" s="904"/>
      <c r="T30" s="904"/>
      <c r="U30" s="904"/>
      <c r="V30" s="904"/>
      <c r="W30" s="904"/>
      <c r="X30" s="904"/>
      <c r="Y30" s="904"/>
      <c r="Z30" s="905"/>
      <c r="AA30" s="905"/>
      <c r="AB30" s="905"/>
      <c r="AC30" s="905"/>
      <c r="AD30" s="905"/>
      <c r="AE30" s="905"/>
      <c r="AF30" s="905"/>
      <c r="AG30" s="905"/>
    </row>
    <row r="31" spans="1:33" s="291" customFormat="1" x14ac:dyDescent="0.25">
      <c r="A31" s="901"/>
      <c r="B31" s="902"/>
      <c r="C31" s="902"/>
      <c r="D31" s="902"/>
      <c r="E31" s="902"/>
      <c r="F31" s="902"/>
      <c r="G31" s="902"/>
      <c r="H31" s="901"/>
      <c r="I31" s="901"/>
      <c r="J31" s="904"/>
      <c r="K31" s="904"/>
      <c r="L31" s="904"/>
      <c r="M31" s="904"/>
      <c r="N31" s="904"/>
      <c r="O31" s="904"/>
      <c r="P31" s="904"/>
      <c r="Q31" s="904"/>
      <c r="R31" s="904"/>
      <c r="S31" s="904"/>
      <c r="T31" s="904"/>
      <c r="U31" s="904"/>
      <c r="V31" s="904"/>
      <c r="W31" s="904"/>
      <c r="X31" s="904"/>
      <c r="Y31" s="904"/>
      <c r="Z31" s="905"/>
      <c r="AA31" s="905"/>
      <c r="AB31" s="905"/>
      <c r="AC31" s="905"/>
      <c r="AD31" s="905"/>
      <c r="AE31" s="905"/>
      <c r="AF31" s="905"/>
      <c r="AG31" s="905"/>
    </row>
    <row r="32" spans="1:33" s="903" customFormat="1" x14ac:dyDescent="0.25">
      <c r="A32" s="901"/>
      <c r="B32" s="902"/>
      <c r="C32" s="902"/>
      <c r="D32" s="902"/>
      <c r="E32" s="902"/>
      <c r="F32" s="902"/>
      <c r="G32" s="902"/>
      <c r="H32" s="901"/>
      <c r="I32" s="901"/>
      <c r="J32" s="904"/>
      <c r="K32" s="904"/>
      <c r="L32" s="904"/>
      <c r="M32" s="904"/>
      <c r="N32" s="904"/>
      <c r="O32" s="904"/>
      <c r="P32" s="904"/>
      <c r="Q32" s="904"/>
      <c r="R32" s="904"/>
      <c r="S32" s="904"/>
      <c r="T32" s="904"/>
      <c r="U32" s="904"/>
      <c r="V32" s="904"/>
      <c r="W32" s="904"/>
      <c r="X32" s="904"/>
      <c r="Y32" s="904"/>
      <c r="Z32" s="905"/>
      <c r="AA32" s="905"/>
      <c r="AB32" s="905"/>
      <c r="AC32" s="905"/>
      <c r="AD32" s="905"/>
      <c r="AE32" s="905"/>
      <c r="AF32" s="905"/>
      <c r="AG32" s="905"/>
    </row>
    <row r="33" spans="1:39" s="905" customFormat="1" x14ac:dyDescent="0.25">
      <c r="A33" s="904"/>
      <c r="B33" s="904"/>
      <c r="C33" s="904"/>
      <c r="D33" s="904"/>
      <c r="E33" s="904"/>
      <c r="F33" s="904"/>
      <c r="G33" s="904"/>
      <c r="H33" s="904"/>
      <c r="I33" s="904"/>
      <c r="J33" s="904"/>
      <c r="K33" s="904"/>
      <c r="L33" s="904"/>
      <c r="M33" s="904"/>
      <c r="N33" s="904"/>
      <c r="O33" s="904"/>
      <c r="P33" s="904"/>
      <c r="Q33" s="904"/>
      <c r="R33" s="904"/>
      <c r="S33" s="904"/>
      <c r="T33" s="904"/>
      <c r="U33" s="904"/>
      <c r="V33" s="904"/>
      <c r="W33" s="904"/>
      <c r="X33" s="904"/>
      <c r="Y33" s="904"/>
    </row>
    <row r="34" spans="1:39" s="905" customFormat="1" x14ac:dyDescent="0.25">
      <c r="A34" s="904"/>
      <c r="B34" s="904"/>
      <c r="C34" s="904"/>
      <c r="D34" s="904"/>
      <c r="E34" s="904"/>
      <c r="F34" s="904"/>
      <c r="G34" s="904"/>
      <c r="H34" s="904"/>
      <c r="I34" s="904"/>
      <c r="J34" s="904"/>
      <c r="K34" s="904"/>
      <c r="L34" s="904"/>
      <c r="M34" s="904"/>
      <c r="N34" s="904"/>
      <c r="O34" s="904"/>
      <c r="P34" s="904"/>
      <c r="Q34" s="904"/>
      <c r="R34" s="904"/>
      <c r="S34" s="904"/>
      <c r="T34" s="904"/>
      <c r="U34" s="904"/>
      <c r="V34" s="904"/>
      <c r="W34" s="904"/>
      <c r="X34" s="904"/>
      <c r="Y34" s="904"/>
    </row>
    <row r="35" spans="1:39" s="905" customFormat="1" x14ac:dyDescent="0.25">
      <c r="A35" s="904"/>
      <c r="B35" s="904"/>
      <c r="C35" s="904"/>
      <c r="D35" s="904"/>
      <c r="E35" s="904"/>
      <c r="F35" s="904"/>
      <c r="G35" s="904"/>
      <c r="H35" s="904"/>
      <c r="I35" s="904"/>
      <c r="J35" s="904"/>
      <c r="K35" s="904"/>
      <c r="L35" s="904"/>
      <c r="M35" s="904"/>
      <c r="N35" s="904"/>
      <c r="O35" s="904"/>
      <c r="P35" s="904"/>
      <c r="Q35" s="904"/>
      <c r="R35" s="904"/>
      <c r="S35" s="904"/>
      <c r="T35" s="904"/>
      <c r="U35" s="904"/>
      <c r="V35" s="904"/>
      <c r="W35" s="904"/>
      <c r="X35" s="904"/>
      <c r="Y35" s="904"/>
    </row>
    <row r="36" spans="1:39" s="905" customFormat="1" x14ac:dyDescent="0.25">
      <c r="A36" s="906"/>
      <c r="B36" s="906"/>
      <c r="C36" s="906"/>
      <c r="D36" s="906"/>
      <c r="E36" s="906"/>
      <c r="F36" s="906"/>
      <c r="G36" s="906"/>
      <c r="H36" s="906"/>
      <c r="I36" s="906"/>
      <c r="J36" s="906"/>
      <c r="K36" s="906"/>
      <c r="L36" s="906"/>
      <c r="M36" s="906"/>
      <c r="N36" s="906"/>
      <c r="O36" s="906"/>
      <c r="P36" s="906"/>
      <c r="Q36" s="906"/>
      <c r="R36" s="906"/>
      <c r="S36" s="906"/>
      <c r="T36" s="906"/>
      <c r="U36" s="906"/>
      <c r="V36" s="906"/>
      <c r="W36" s="906"/>
      <c r="X36" s="906"/>
      <c r="Y36" s="906"/>
      <c r="Z36" s="907"/>
      <c r="AA36" s="907"/>
      <c r="AB36" s="907"/>
      <c r="AC36" s="907"/>
      <c r="AD36" s="907"/>
    </row>
    <row r="37" spans="1:39" s="905" customFormat="1" x14ac:dyDescent="0.25">
      <c r="A37" s="906"/>
      <c r="B37" s="908" t="s">
        <v>880</v>
      </c>
      <c r="C37" s="906"/>
      <c r="D37" s="906"/>
      <c r="E37" s="906"/>
      <c r="F37" s="906"/>
      <c r="G37" s="906"/>
      <c r="H37" s="906"/>
      <c r="I37" s="906"/>
      <c r="J37" s="906"/>
      <c r="K37" s="906"/>
      <c r="L37" s="906"/>
      <c r="M37" s="906"/>
      <c r="N37" s="906"/>
      <c r="O37" s="906"/>
      <c r="P37" s="906"/>
      <c r="Q37" s="906"/>
      <c r="R37" s="906"/>
      <c r="S37" s="906"/>
      <c r="T37" s="906"/>
      <c r="U37" s="906"/>
      <c r="V37" s="906"/>
      <c r="W37" s="906"/>
      <c r="X37" s="906"/>
      <c r="Y37" s="906"/>
      <c r="Z37" s="907"/>
      <c r="AA37" s="907"/>
      <c r="AB37" s="907"/>
      <c r="AC37" s="907"/>
      <c r="AD37" s="907"/>
    </row>
    <row r="38" spans="1:39" s="905" customFormat="1" x14ac:dyDescent="0.25">
      <c r="A38" s="906"/>
      <c r="B38" s="906"/>
      <c r="C38" s="906"/>
      <c r="D38" s="906"/>
      <c r="E38" s="906"/>
      <c r="F38" s="906"/>
      <c r="G38" s="906"/>
      <c r="H38" s="907"/>
      <c r="I38" s="906"/>
      <c r="J38" s="906"/>
      <c r="K38" s="906"/>
      <c r="L38" s="906"/>
      <c r="M38" s="906"/>
      <c r="N38" s="906"/>
      <c r="O38" s="906"/>
      <c r="P38" s="906"/>
      <c r="Q38" s="906"/>
      <c r="R38" s="906"/>
      <c r="S38" s="906"/>
      <c r="T38" s="906"/>
      <c r="U38" s="906"/>
      <c r="V38" s="906"/>
      <c r="W38" s="906"/>
      <c r="X38" s="906"/>
      <c r="Y38" s="906"/>
      <c r="Z38" s="907"/>
      <c r="AA38" s="907"/>
      <c r="AB38" s="907"/>
      <c r="AC38" s="907"/>
      <c r="AD38" s="907"/>
    </row>
    <row r="39" spans="1:39" s="905" customFormat="1" x14ac:dyDescent="0.25">
      <c r="A39" s="906"/>
      <c r="B39" s="908" t="s">
        <v>877</v>
      </c>
      <c r="C39" s="909" t="s">
        <v>453</v>
      </c>
      <c r="D39" s="909" t="s">
        <v>453</v>
      </c>
      <c r="E39" s="909" t="s">
        <v>454</v>
      </c>
      <c r="F39" s="909" t="s">
        <v>454</v>
      </c>
      <c r="G39" s="906"/>
      <c r="H39" s="906"/>
      <c r="I39" s="906"/>
      <c r="J39" s="906"/>
      <c r="K39" s="906"/>
      <c r="L39" s="906"/>
      <c r="M39" s="906"/>
      <c r="N39" s="906"/>
      <c r="O39" s="906"/>
      <c r="P39" s="906"/>
      <c r="Q39" s="910"/>
      <c r="R39" s="910"/>
      <c r="S39" s="910"/>
      <c r="T39" s="910"/>
      <c r="U39" s="910"/>
      <c r="V39" s="906"/>
      <c r="W39" s="906"/>
      <c r="X39" s="906"/>
      <c r="Y39" s="906"/>
      <c r="Z39" s="907"/>
      <c r="AA39" s="907"/>
      <c r="AB39" s="907"/>
      <c r="AC39" s="907"/>
      <c r="AD39" s="907"/>
    </row>
    <row r="40" spans="1:39" s="905" customFormat="1" x14ac:dyDescent="0.25">
      <c r="A40" s="907"/>
      <c r="B40" s="906"/>
      <c r="C40" s="909" t="s">
        <v>455</v>
      </c>
      <c r="D40" s="909" t="s">
        <v>456</v>
      </c>
      <c r="E40" s="909" t="s">
        <v>457</v>
      </c>
      <c r="F40" s="909" t="s">
        <v>458</v>
      </c>
      <c r="G40" s="906"/>
      <c r="H40" s="906"/>
      <c r="I40" s="911" t="s">
        <v>527</v>
      </c>
      <c r="J40" s="911" t="s">
        <v>528</v>
      </c>
      <c r="K40" s="911" t="s">
        <v>529</v>
      </c>
      <c r="L40" s="911" t="s">
        <v>530</v>
      </c>
      <c r="M40" s="911" t="s">
        <v>531</v>
      </c>
      <c r="N40" s="911" t="s">
        <v>532</v>
      </c>
      <c r="O40" s="911" t="s">
        <v>533</v>
      </c>
      <c r="P40" s="911" t="s">
        <v>534</v>
      </c>
      <c r="Q40" s="911" t="s">
        <v>535</v>
      </c>
      <c r="R40" s="911" t="s">
        <v>536</v>
      </c>
      <c r="S40" s="911" t="s">
        <v>537</v>
      </c>
      <c r="T40" s="911" t="s">
        <v>538</v>
      </c>
      <c r="U40" s="911" t="s">
        <v>539</v>
      </c>
      <c r="V40" s="906"/>
      <c r="W40" s="906"/>
      <c r="X40" s="906"/>
      <c r="Y40" s="906"/>
      <c r="Z40" s="906"/>
      <c r="AA40" s="906"/>
      <c r="AB40" s="906"/>
      <c r="AC40" s="906"/>
      <c r="AD40" s="906"/>
      <c r="AE40" s="904"/>
      <c r="AF40" s="904"/>
      <c r="AG40" s="912"/>
      <c r="AH40" s="912"/>
      <c r="AI40" s="912"/>
      <c r="AJ40" s="912"/>
      <c r="AK40" s="912"/>
      <c r="AL40" s="912"/>
      <c r="AM40" s="912"/>
    </row>
    <row r="41" spans="1:39" s="905" customFormat="1" x14ac:dyDescent="0.25">
      <c r="A41" s="907"/>
      <c r="B41" s="908" t="s">
        <v>459</v>
      </c>
      <c r="C41" s="913">
        <f>IF('Feuille saisie commune'!C15="Truies et verrats",IF('Feuille saisie commune'!E15&lt;&gt;"",'Feuille saisie commune'!E15,C7))+IF('Feuille saisie commune'!C16="Truies et verrats",IF('Feuille saisie commune'!E16&lt;&gt;"",'Feuille saisie commune'!E16,C7))+IF('Feuille saisie commune'!C17="Truies et verrats",IF('Feuille saisie commune'!E17&lt;&gt;"",'Feuille saisie commune'!E17,C7))</f>
        <v>200</v>
      </c>
      <c r="D41" s="913">
        <f>IF('Feuille saisie commune'!C15="Truies et verrats",IF('Feuille saisie commune'!E15&lt;&gt;"",'Feuille saisie commune'!E15,D7))+IF('Feuille saisie commune'!C16="Truies et verrats",IF('Feuille saisie commune'!E16&lt;&gt;"",'Feuille saisie commune'!E16,D7))+IF('Feuille saisie commune'!C17="Truies et verrats",IF('Feuille saisie commune'!E17&lt;&gt;"",'Feuille saisie commune'!E17,D7))</f>
        <v>200</v>
      </c>
      <c r="E41" s="914">
        <f t="shared" ref="C41:F44" si="0">E7</f>
        <v>0</v>
      </c>
      <c r="F41" s="914">
        <f t="shared" si="0"/>
        <v>0</v>
      </c>
      <c r="G41" s="906"/>
      <c r="H41" s="915" t="s">
        <v>540</v>
      </c>
      <c r="I41" s="916">
        <v>56</v>
      </c>
      <c r="J41" s="917">
        <f>((EXP(-0.9385-0.0145*I41)*(0.915*E41^1.009)^(0.7364+0.0044*I41))/6.25*1000)*C41/1000</f>
        <v>0</v>
      </c>
      <c r="K41" s="917">
        <f>((EXP(-0.9385-0.0145*I41)*(0.915*F41^1.009)^(0.7364+0.0044*I41))/6.25*1000)*D41/1000</f>
        <v>0</v>
      </c>
      <c r="L41" s="917">
        <f>5.3*E41*C41/1000</f>
        <v>0</v>
      </c>
      <c r="M41" s="917">
        <f>(5.3*F41)*D41/1000</f>
        <v>0</v>
      </c>
      <c r="N41" s="917">
        <f t="shared" ref="N41:O44" si="1">(-0.00345*E41^2+2.53338*E41)*C41/1000</f>
        <v>0</v>
      </c>
      <c r="O41" s="917">
        <f t="shared" si="1"/>
        <v>0</v>
      </c>
      <c r="P41" s="918">
        <f t="shared" ref="P41:Q44" si="2">(1.006*E41)*C41/1000000</f>
        <v>0</v>
      </c>
      <c r="Q41" s="918">
        <f t="shared" si="2"/>
        <v>0</v>
      </c>
      <c r="R41" s="918">
        <f t="shared" ref="R41:S44" si="3">21.8*E41*C41/1000000</f>
        <v>0</v>
      </c>
      <c r="S41" s="918">
        <f t="shared" si="3"/>
        <v>0</v>
      </c>
      <c r="T41" s="919">
        <f t="shared" ref="T41:U44" si="4">C41*E41</f>
        <v>0</v>
      </c>
      <c r="U41" s="919">
        <f t="shared" si="4"/>
        <v>0</v>
      </c>
      <c r="V41" s="906"/>
      <c r="W41" s="906"/>
      <c r="X41" s="906"/>
      <c r="Y41" s="906"/>
      <c r="Z41" s="906"/>
      <c r="AA41" s="906"/>
      <c r="AB41" s="906"/>
      <c r="AC41" s="906"/>
      <c r="AD41" s="906"/>
      <c r="AE41" s="904"/>
      <c r="AF41" s="904"/>
      <c r="AG41" s="912"/>
      <c r="AH41" s="912"/>
      <c r="AI41" s="912"/>
      <c r="AJ41" s="912"/>
      <c r="AK41" s="912"/>
      <c r="AL41" s="912"/>
      <c r="AM41" s="912"/>
    </row>
    <row r="42" spans="1:39" s="905" customFormat="1" x14ac:dyDescent="0.25">
      <c r="A42" s="907"/>
      <c r="B42" s="908" t="s">
        <v>460</v>
      </c>
      <c r="C42" s="914">
        <f t="shared" si="0"/>
        <v>0</v>
      </c>
      <c r="D42" s="914">
        <f t="shared" si="0"/>
        <v>0</v>
      </c>
      <c r="E42" s="914">
        <f t="shared" si="0"/>
        <v>0</v>
      </c>
      <c r="F42" s="914">
        <f t="shared" si="0"/>
        <v>0</v>
      </c>
      <c r="G42" s="906"/>
      <c r="H42" s="915" t="s">
        <v>460</v>
      </c>
      <c r="I42" s="916">
        <v>56</v>
      </c>
      <c r="J42" s="917">
        <f>((EXP(-0.9385-0.0145*I42)*(0.915*E42^1.009)^(0.7364+0.0044*I42))/6.25*1000)*C42/1000</f>
        <v>0</v>
      </c>
      <c r="K42" s="917">
        <f>((EXP(-0.9385-0.0145*I42)*(0.915*F42^1.009)^(0.7364+0.0044*I42))/6.25*1000)*D42/1000</f>
        <v>0</v>
      </c>
      <c r="L42" s="917">
        <f>5.3*E42*C42/1000</f>
        <v>0</v>
      </c>
      <c r="M42" s="917">
        <f>(5.3*F42)*D42/1000</f>
        <v>0</v>
      </c>
      <c r="N42" s="917">
        <f t="shared" si="1"/>
        <v>0</v>
      </c>
      <c r="O42" s="917">
        <f t="shared" si="1"/>
        <v>0</v>
      </c>
      <c r="P42" s="918">
        <f t="shared" si="2"/>
        <v>0</v>
      </c>
      <c r="Q42" s="918">
        <f t="shared" si="2"/>
        <v>0</v>
      </c>
      <c r="R42" s="918">
        <f t="shared" si="3"/>
        <v>0</v>
      </c>
      <c r="S42" s="918">
        <f t="shared" si="3"/>
        <v>0</v>
      </c>
      <c r="T42" s="919">
        <f t="shared" si="4"/>
        <v>0</v>
      </c>
      <c r="U42" s="919">
        <f t="shared" si="4"/>
        <v>0</v>
      </c>
      <c r="V42" s="906"/>
      <c r="W42" s="906"/>
      <c r="X42" s="906"/>
      <c r="Y42" s="906"/>
      <c r="Z42" s="906"/>
      <c r="AA42" s="906"/>
      <c r="AB42" s="906"/>
      <c r="AC42" s="906"/>
      <c r="AD42" s="906"/>
      <c r="AE42" s="904"/>
      <c r="AF42" s="904"/>
      <c r="AG42" s="912"/>
      <c r="AH42" s="912"/>
      <c r="AI42" s="912"/>
      <c r="AJ42" s="912"/>
      <c r="AK42" s="912"/>
      <c r="AL42" s="912"/>
      <c r="AM42" s="912"/>
    </row>
    <row r="43" spans="1:39" s="905" customFormat="1" x14ac:dyDescent="0.25">
      <c r="A43" s="907"/>
      <c r="B43" s="908" t="s">
        <v>461</v>
      </c>
      <c r="C43" s="914">
        <f t="shared" si="0"/>
        <v>0</v>
      </c>
      <c r="D43" s="914">
        <f t="shared" si="0"/>
        <v>0</v>
      </c>
      <c r="E43" s="914">
        <f t="shared" si="0"/>
        <v>0</v>
      </c>
      <c r="F43" s="914">
        <f t="shared" si="0"/>
        <v>0</v>
      </c>
      <c r="G43" s="906"/>
      <c r="H43" s="908" t="s">
        <v>541</v>
      </c>
      <c r="I43" s="920">
        <f>IF(U49&lt;&gt;0,U49,56)</f>
        <v>1.5</v>
      </c>
      <c r="J43" s="917">
        <f>((EXP(-0.9385-0.0145*I43)*(0.915*E43^1.009)^(0.7364+0.0044*I43))/6.25*1000)*C43/1000</f>
        <v>0</v>
      </c>
      <c r="K43" s="917">
        <f>((EXP(-0.9385-0.0145*I43)*(0.915*F43^1.009)^(0.7364+0.0044*I43))/6.25*1000)*D43/1000</f>
        <v>0</v>
      </c>
      <c r="L43" s="917">
        <f>5.3*E43*C43/1000</f>
        <v>0</v>
      </c>
      <c r="M43" s="917">
        <f>(5.3*F43)*D43/1000</f>
        <v>0</v>
      </c>
      <c r="N43" s="917">
        <f t="shared" si="1"/>
        <v>0</v>
      </c>
      <c r="O43" s="917">
        <f t="shared" si="1"/>
        <v>0</v>
      </c>
      <c r="P43" s="918">
        <f t="shared" si="2"/>
        <v>0</v>
      </c>
      <c r="Q43" s="918">
        <f t="shared" si="2"/>
        <v>0</v>
      </c>
      <c r="R43" s="918">
        <f t="shared" si="3"/>
        <v>0</v>
      </c>
      <c r="S43" s="918">
        <f t="shared" si="3"/>
        <v>0</v>
      </c>
      <c r="T43" s="919">
        <f t="shared" si="4"/>
        <v>0</v>
      </c>
      <c r="U43" s="919">
        <f t="shared" si="4"/>
        <v>0</v>
      </c>
      <c r="V43" s="906"/>
      <c r="W43" s="906"/>
      <c r="X43" s="906"/>
      <c r="Y43" s="906"/>
      <c r="Z43" s="906"/>
      <c r="AA43" s="906"/>
      <c r="AB43" s="906"/>
      <c r="AC43" s="906"/>
      <c r="AD43" s="906"/>
      <c r="AE43" s="904"/>
      <c r="AF43" s="904"/>
      <c r="AG43" s="912"/>
      <c r="AH43" s="912"/>
      <c r="AI43" s="912"/>
      <c r="AJ43" s="912"/>
      <c r="AK43" s="912"/>
      <c r="AL43" s="912"/>
      <c r="AM43" s="912"/>
    </row>
    <row r="44" spans="1:39" s="905" customFormat="1" x14ac:dyDescent="0.25">
      <c r="A44" s="907"/>
      <c r="B44" s="908" t="s">
        <v>462</v>
      </c>
      <c r="C44" s="914">
        <f t="shared" si="0"/>
        <v>0</v>
      </c>
      <c r="D44" s="914">
        <f t="shared" si="0"/>
        <v>0</v>
      </c>
      <c r="E44" s="914">
        <f t="shared" si="0"/>
        <v>0</v>
      </c>
      <c r="F44" s="914">
        <f t="shared" si="0"/>
        <v>0</v>
      </c>
      <c r="G44" s="906"/>
      <c r="H44" s="908" t="s">
        <v>542</v>
      </c>
      <c r="I44" s="920">
        <f>IF(U49&lt;&gt;0,U49,56)</f>
        <v>1.5</v>
      </c>
      <c r="J44" s="917">
        <f>((EXP(-0.9385-0.0145*I44)*(0.915*E44^1.009)^(0.7364+0.0044*I44))/6.25*1000)*C44/1000</f>
        <v>0</v>
      </c>
      <c r="K44" s="917">
        <f>((EXP(-0.9385-0.0145*I44)*(0.915*F44^1.009)^(0.7364+0.0044*I44))/6.25*1000)*D44/1000</f>
        <v>0</v>
      </c>
      <c r="L44" s="917">
        <f>5.3*E44*C44/1000</f>
        <v>0</v>
      </c>
      <c r="M44" s="917">
        <f>(5.3*F44)*D44/1000</f>
        <v>0</v>
      </c>
      <c r="N44" s="917">
        <f t="shared" si="1"/>
        <v>0</v>
      </c>
      <c r="O44" s="917">
        <f t="shared" si="1"/>
        <v>0</v>
      </c>
      <c r="P44" s="918">
        <f t="shared" si="2"/>
        <v>0</v>
      </c>
      <c r="Q44" s="918">
        <f t="shared" si="2"/>
        <v>0</v>
      </c>
      <c r="R44" s="918">
        <f t="shared" si="3"/>
        <v>0</v>
      </c>
      <c r="S44" s="918">
        <f t="shared" si="3"/>
        <v>0</v>
      </c>
      <c r="T44" s="919">
        <f t="shared" si="4"/>
        <v>0</v>
      </c>
      <c r="U44" s="919">
        <f t="shared" si="4"/>
        <v>0</v>
      </c>
      <c r="V44" s="906"/>
      <c r="W44" s="906"/>
      <c r="X44" s="906"/>
      <c r="Y44" s="906"/>
      <c r="Z44" s="906"/>
      <c r="AA44" s="906"/>
      <c r="AB44" s="906"/>
      <c r="AC44" s="906"/>
      <c r="AD44" s="906"/>
      <c r="AE44" s="904"/>
      <c r="AF44" s="904"/>
      <c r="AG44" s="912"/>
      <c r="AH44" s="912"/>
      <c r="AI44" s="912"/>
      <c r="AJ44" s="912"/>
      <c r="AK44" s="912"/>
      <c r="AL44" s="912"/>
      <c r="AM44" s="912"/>
    </row>
    <row r="45" spans="1:39" s="905" customFormat="1" x14ac:dyDescent="0.25">
      <c r="A45" s="907"/>
      <c r="B45" s="906"/>
      <c r="C45" s="906"/>
      <c r="D45" s="906"/>
      <c r="E45" s="906"/>
      <c r="F45" s="906"/>
      <c r="G45" s="906"/>
      <c r="H45" s="908" t="s">
        <v>543</v>
      </c>
      <c r="I45" s="910"/>
      <c r="J45" s="921">
        <f t="shared" ref="J45:U45" si="5">SUM(J41:J44)</f>
        <v>0</v>
      </c>
      <c r="K45" s="921">
        <f t="shared" si="5"/>
        <v>0</v>
      </c>
      <c r="L45" s="921">
        <f t="shared" si="5"/>
        <v>0</v>
      </c>
      <c r="M45" s="921">
        <f t="shared" si="5"/>
        <v>0</v>
      </c>
      <c r="N45" s="921">
        <f t="shared" si="5"/>
        <v>0</v>
      </c>
      <c r="O45" s="921">
        <f t="shared" si="5"/>
        <v>0</v>
      </c>
      <c r="P45" s="922">
        <f t="shared" si="5"/>
        <v>0</v>
      </c>
      <c r="Q45" s="922">
        <f t="shared" si="5"/>
        <v>0</v>
      </c>
      <c r="R45" s="922">
        <f t="shared" si="5"/>
        <v>0</v>
      </c>
      <c r="S45" s="922">
        <f t="shared" si="5"/>
        <v>0</v>
      </c>
      <c r="T45" s="923">
        <f t="shared" si="5"/>
        <v>0</v>
      </c>
      <c r="U45" s="923">
        <f t="shared" si="5"/>
        <v>0</v>
      </c>
      <c r="V45" s="906"/>
      <c r="W45" s="906"/>
      <c r="X45" s="906"/>
      <c r="Y45" s="906"/>
      <c r="Z45" s="906"/>
      <c r="AA45" s="906"/>
      <c r="AB45" s="906"/>
      <c r="AC45" s="906"/>
      <c r="AD45" s="906"/>
      <c r="AE45" s="904"/>
      <c r="AF45" s="904"/>
      <c r="AG45" s="912"/>
      <c r="AH45" s="912"/>
      <c r="AI45" s="912"/>
      <c r="AJ45" s="912"/>
      <c r="AK45" s="912"/>
      <c r="AL45" s="912"/>
      <c r="AM45" s="912"/>
    </row>
    <row r="46" spans="1:39" s="905" customFormat="1" x14ac:dyDescent="0.25">
      <c r="A46" s="907"/>
      <c r="B46" s="906"/>
      <c r="C46" s="906"/>
      <c r="D46" s="906"/>
      <c r="E46" s="906"/>
      <c r="F46" s="906"/>
      <c r="G46" s="906"/>
      <c r="H46" s="906"/>
      <c r="I46" s="910"/>
      <c r="J46" s="910"/>
      <c r="K46" s="910"/>
      <c r="L46" s="910"/>
      <c r="M46" s="910"/>
      <c r="N46" s="910"/>
      <c r="O46" s="910"/>
      <c r="P46" s="910"/>
      <c r="Q46" s="910"/>
      <c r="R46" s="910"/>
      <c r="S46" s="910"/>
      <c r="T46" s="910"/>
      <c r="U46" s="910"/>
      <c r="V46" s="906"/>
      <c r="W46" s="906"/>
      <c r="X46" s="906"/>
      <c r="Y46" s="906"/>
      <c r="Z46" s="906"/>
      <c r="AA46" s="906"/>
      <c r="AB46" s="906"/>
      <c r="AC46" s="906"/>
      <c r="AD46" s="906"/>
      <c r="AE46" s="904"/>
      <c r="AF46" s="924"/>
      <c r="AG46" s="925"/>
      <c r="AH46" s="925"/>
      <c r="AI46" s="912"/>
      <c r="AJ46" s="912"/>
      <c r="AK46" s="912"/>
      <c r="AL46" s="912"/>
      <c r="AM46" s="912"/>
    </row>
    <row r="47" spans="1:39" s="905" customFormat="1" x14ac:dyDescent="0.25">
      <c r="A47" s="907"/>
      <c r="B47" s="908" t="s">
        <v>878</v>
      </c>
      <c r="C47" s="909" t="s">
        <v>4</v>
      </c>
      <c r="D47" s="909" t="s">
        <v>463</v>
      </c>
      <c r="E47" s="909" t="s">
        <v>464</v>
      </c>
      <c r="F47" s="909" t="s">
        <v>465</v>
      </c>
      <c r="G47" s="909"/>
      <c r="H47" s="906"/>
      <c r="I47" s="906"/>
      <c r="J47" s="906"/>
      <c r="K47" s="906"/>
      <c r="L47" s="910"/>
      <c r="M47" s="910"/>
      <c r="N47" s="910"/>
      <c r="O47" s="910"/>
      <c r="P47" s="910"/>
      <c r="Q47" s="910"/>
      <c r="R47" s="910"/>
      <c r="S47" s="910"/>
      <c r="T47" s="910"/>
      <c r="U47" s="910"/>
      <c r="V47" s="906"/>
      <c r="W47" s="906"/>
      <c r="X47" s="906"/>
      <c r="Y47" s="906"/>
      <c r="Z47" s="906"/>
      <c r="AA47" s="906"/>
      <c r="AB47" s="906"/>
      <c r="AC47" s="906"/>
      <c r="AD47" s="906"/>
      <c r="AE47" s="904"/>
      <c r="AF47" s="924"/>
      <c r="AG47" s="912"/>
      <c r="AH47" s="912"/>
      <c r="AI47" s="912"/>
      <c r="AJ47" s="912"/>
      <c r="AK47" s="912"/>
      <c r="AL47" s="912"/>
      <c r="AM47" s="912"/>
    </row>
    <row r="48" spans="1:39" s="905" customFormat="1" x14ac:dyDescent="0.25">
      <c r="A48" s="907"/>
      <c r="B48" s="906"/>
      <c r="C48" s="909"/>
      <c r="D48" s="909" t="s">
        <v>466</v>
      </c>
      <c r="E48" s="909"/>
      <c r="F48" s="911" t="s">
        <v>467</v>
      </c>
      <c r="G48" s="911"/>
      <c r="H48" s="906"/>
      <c r="I48" s="915" t="s">
        <v>544</v>
      </c>
      <c r="J48" s="915" t="s">
        <v>545</v>
      </c>
      <c r="K48" s="915" t="s">
        <v>546</v>
      </c>
      <c r="L48" s="915" t="s">
        <v>547</v>
      </c>
      <c r="M48" s="915" t="s">
        <v>548</v>
      </c>
      <c r="N48" s="915" t="s">
        <v>549</v>
      </c>
      <c r="O48" s="915" t="s">
        <v>550</v>
      </c>
      <c r="P48" s="915" t="s">
        <v>551</v>
      </c>
      <c r="Q48" s="915" t="s">
        <v>552</v>
      </c>
      <c r="R48" s="915" t="s">
        <v>553</v>
      </c>
      <c r="S48" s="915" t="s">
        <v>554</v>
      </c>
      <c r="T48" s="915" t="s">
        <v>555</v>
      </c>
      <c r="U48" s="915" t="s">
        <v>556</v>
      </c>
      <c r="V48" s="906"/>
      <c r="W48" s="906"/>
      <c r="X48" s="906"/>
      <c r="Y48" s="906"/>
      <c r="Z48" s="906"/>
      <c r="AA48" s="906"/>
      <c r="AB48" s="906"/>
      <c r="AC48" s="906"/>
      <c r="AD48" s="906"/>
      <c r="AE48" s="904"/>
      <c r="AF48" s="924"/>
      <c r="AG48" s="925"/>
      <c r="AH48" s="925"/>
      <c r="AI48" s="925"/>
      <c r="AJ48" s="925"/>
      <c r="AK48" s="925"/>
      <c r="AL48" s="925"/>
      <c r="AM48" s="925"/>
    </row>
    <row r="49" spans="1:39" s="905" customFormat="1" x14ac:dyDescent="0.25">
      <c r="A49" s="907"/>
      <c r="B49" s="908" t="s">
        <v>468</v>
      </c>
      <c r="C49" s="914">
        <f t="shared" ref="C49:D51" si="6">C15</f>
        <v>0</v>
      </c>
      <c r="D49" s="926">
        <f t="shared" si="6"/>
        <v>0</v>
      </c>
      <c r="E49" s="926">
        <f>E15+1.5</f>
        <v>1.5</v>
      </c>
      <c r="F49" s="927">
        <f>C49*D49</f>
        <v>0</v>
      </c>
      <c r="G49" s="927"/>
      <c r="H49" s="908" t="str">
        <f t="shared" ref="H49:H54" si="7">+B49</f>
        <v>Porcelets sevrés</v>
      </c>
      <c r="I49" s="928">
        <f>D49*C49</f>
        <v>0</v>
      </c>
      <c r="J49" s="929">
        <f>((EXP(-0.9385-0.0145*U49)*(0.915*D49^1.009)^(0.7364+0.0044*U49))/6.25*1000)*C49/1000</f>
        <v>0</v>
      </c>
      <c r="K49" s="917">
        <f t="shared" ref="K49:K54" si="8">5.3*F49/1000</f>
        <v>0</v>
      </c>
      <c r="L49" s="917">
        <f>(-0.00345*D49^2+2.53338*D49)*C49/1000</f>
        <v>0</v>
      </c>
      <c r="M49" s="918">
        <f>(1.006*D49)*C49/1000000</f>
        <v>0</v>
      </c>
      <c r="N49" s="918">
        <f>21.8*D49*C49/1000000</f>
        <v>0</v>
      </c>
      <c r="O49" s="917">
        <f>C58*D58</f>
        <v>0</v>
      </c>
      <c r="P49" s="929">
        <f>((EXP(-0.9385-0.0145*U49)*(0.915*D58^1.009)^(0.7364+0.0044*U49))/6.25*1000)*C58/1000</f>
        <v>0</v>
      </c>
      <c r="Q49" s="917">
        <f>(5.3*D58)*C58/1000</f>
        <v>0</v>
      </c>
      <c r="R49" s="917">
        <f>(-0.00345*D58^2+2.53338*D58)*C58/1000</f>
        <v>0</v>
      </c>
      <c r="S49" s="918">
        <f>(1.006*D58)*C58/1000000</f>
        <v>0</v>
      </c>
      <c r="T49" s="918">
        <f>21.8*D58*C58/1000000</f>
        <v>0</v>
      </c>
      <c r="U49" s="910">
        <f>IF(E49&lt;&gt;0,E49,U52)</f>
        <v>1.5</v>
      </c>
      <c r="V49" s="906"/>
      <c r="W49" s="906"/>
      <c r="X49" s="906"/>
      <c r="Y49" s="906"/>
      <c r="Z49" s="906"/>
      <c r="AA49" s="906"/>
      <c r="AB49" s="906"/>
      <c r="AC49" s="906"/>
      <c r="AD49" s="906"/>
      <c r="AE49" s="904"/>
      <c r="AF49" s="924"/>
      <c r="AG49" s="925"/>
      <c r="AH49" s="925"/>
      <c r="AI49" s="925"/>
      <c r="AJ49" s="925"/>
      <c r="AK49" s="925"/>
      <c r="AL49" s="925"/>
      <c r="AM49" s="925"/>
    </row>
    <row r="50" spans="1:39" s="905" customFormat="1" x14ac:dyDescent="0.25">
      <c r="A50" s="907"/>
      <c r="B50" s="908" t="s">
        <v>469</v>
      </c>
      <c r="C50" s="914">
        <f>IF('Feuille saisie commune'!C15="Post-sevrage",IF('Feuille saisie commune'!E15&lt;&gt;"",'Feuille saisie commune'!E15,C16))+IF('Feuille saisie commune'!C16="Post-sevrage",IF('Feuille saisie commune'!E16&lt;&gt;"",'Feuille saisie commune'!E16,C16))+IF('Feuille saisie commune'!C17="Post-sevrage",IF('Feuille saisie commune'!E17&lt;&gt;"",'Feuille saisie commune'!E17,C16))</f>
        <v>4480</v>
      </c>
      <c r="D50" s="926">
        <f t="shared" si="6"/>
        <v>0</v>
      </c>
      <c r="E50" s="926">
        <f>E16+1.5</f>
        <v>1.5</v>
      </c>
      <c r="F50" s="927">
        <f>C50*D50</f>
        <v>0</v>
      </c>
      <c r="G50" s="927"/>
      <c r="H50" s="908" t="str">
        <f t="shared" si="7"/>
        <v>Porcelets "de 25-30 kg"</v>
      </c>
      <c r="I50" s="928">
        <f>D50*C50</f>
        <v>0</v>
      </c>
      <c r="J50" s="929">
        <f>((EXP(-0.9385-0.0145*U50)*(0.915*D50^1.009)^(0.7364+0.0044*U50))/6.25*1000)*C50/1000</f>
        <v>0</v>
      </c>
      <c r="K50" s="917">
        <f t="shared" si="8"/>
        <v>0</v>
      </c>
      <c r="L50" s="917">
        <f>(-0.00345*D50^2+2.53338*D50)*C50/1000</f>
        <v>0</v>
      </c>
      <c r="M50" s="918">
        <f>(1.006*D50)*C50/1000000</f>
        <v>0</v>
      </c>
      <c r="N50" s="918">
        <f>21.8*D50*C50/1000000</f>
        <v>0</v>
      </c>
      <c r="O50" s="917">
        <f>C59*D59</f>
        <v>0</v>
      </c>
      <c r="P50" s="929">
        <f>((EXP(-0.9385-0.0145*U50)*(0.915*D59^1.009)^(0.7364+0.0044*U50))/6.25*1000)*C59/1000</f>
        <v>0</v>
      </c>
      <c r="Q50" s="917">
        <f>(5.3*D59)*C59/1000</f>
        <v>0</v>
      </c>
      <c r="R50" s="917">
        <f>(-0.00345*D59^2+2.53338*D59)*C59/1000</f>
        <v>0</v>
      </c>
      <c r="S50" s="918">
        <f>(1.006*D59)*C59/1000000</f>
        <v>0</v>
      </c>
      <c r="T50" s="918">
        <f>21.8*D59*C59/1000000</f>
        <v>0</v>
      </c>
      <c r="U50" s="910">
        <f>IF(E50&lt;&gt;0,E50,U52)</f>
        <v>1.5</v>
      </c>
      <c r="V50" s="906"/>
      <c r="W50" s="906"/>
      <c r="X50" s="906"/>
      <c r="Y50" s="906"/>
      <c r="Z50" s="906"/>
      <c r="AA50" s="906"/>
      <c r="AB50" s="906"/>
      <c r="AC50" s="906"/>
      <c r="AD50" s="906"/>
      <c r="AE50" s="904"/>
      <c r="AF50" s="924"/>
      <c r="AG50" s="925"/>
      <c r="AH50" s="925"/>
      <c r="AI50" s="925"/>
      <c r="AJ50" s="925"/>
      <c r="AK50" s="925"/>
      <c r="AL50" s="925"/>
      <c r="AM50" s="925"/>
    </row>
    <row r="51" spans="1:39" s="905" customFormat="1" x14ac:dyDescent="0.25">
      <c r="A51" s="907"/>
      <c r="B51" s="908" t="s">
        <v>470</v>
      </c>
      <c r="C51" s="914">
        <f t="shared" si="6"/>
        <v>0</v>
      </c>
      <c r="D51" s="926">
        <f t="shared" si="6"/>
        <v>0</v>
      </c>
      <c r="E51" s="926">
        <f>E17+1.5</f>
        <v>1.5</v>
      </c>
      <c r="F51" s="927">
        <f>C51*D51</f>
        <v>0</v>
      </c>
      <c r="G51" s="927"/>
      <c r="H51" s="908" t="str">
        <f t="shared" si="7"/>
        <v>Jeunes Reproducteurs**</v>
      </c>
      <c r="I51" s="928">
        <f>D51*C51</f>
        <v>0</v>
      </c>
      <c r="J51" s="929">
        <f>((EXP(-0.9385-0.0145*U51)*(0.915*D51^1.009)^(0.7364+0.0044*U51))/6.25*1000)*C51/1000</f>
        <v>0</v>
      </c>
      <c r="K51" s="917">
        <f t="shared" si="8"/>
        <v>0</v>
      </c>
      <c r="L51" s="917">
        <f>(-0.00345*D51^2+2.53338*D51)*C51/1000</f>
        <v>0</v>
      </c>
      <c r="M51" s="918">
        <f>(1.006*D51)*C51/1000000</f>
        <v>0</v>
      </c>
      <c r="N51" s="918">
        <f>21.8*D51*C51/1000000</f>
        <v>0</v>
      </c>
      <c r="O51" s="917">
        <f>C60*D60</f>
        <v>0</v>
      </c>
      <c r="P51" s="929">
        <f>((EXP(-0.9385-0.0145*U51)*(0.915*D60^1.009)^(0.7364+0.0044*U51))/6.25*1000)*C60/1000</f>
        <v>0</v>
      </c>
      <c r="Q51" s="917">
        <f>(5.3*D60)*C60/1000</f>
        <v>0</v>
      </c>
      <c r="R51" s="917">
        <f>(-0.00345*D60^2+2.53338*D60)*C60/1000</f>
        <v>0</v>
      </c>
      <c r="S51" s="918">
        <f>(1.006*D60)*C60/1000000</f>
        <v>0</v>
      </c>
      <c r="T51" s="918">
        <f>21.8*D60*C60/1000000</f>
        <v>0</v>
      </c>
      <c r="U51" s="910">
        <f>IF(E51&lt;&gt;0,E51,U52)</f>
        <v>1.5</v>
      </c>
      <c r="V51" s="906"/>
      <c r="W51" s="906"/>
      <c r="X51" s="906"/>
      <c r="Y51" s="906"/>
      <c r="Z51" s="906"/>
      <c r="AA51" s="906"/>
      <c r="AB51" s="906"/>
      <c r="AC51" s="906"/>
      <c r="AD51" s="906"/>
      <c r="AE51" s="904"/>
      <c r="AF51" s="924"/>
      <c r="AG51" s="925"/>
      <c r="AH51" s="925"/>
      <c r="AI51" s="925"/>
      <c r="AJ51" s="925"/>
      <c r="AK51" s="925"/>
      <c r="AL51" s="925"/>
      <c r="AM51" s="925"/>
    </row>
    <row r="52" spans="1:39" s="905" customFormat="1" x14ac:dyDescent="0.25">
      <c r="A52" s="907"/>
      <c r="B52" s="908" t="s">
        <v>471</v>
      </c>
      <c r="C52" s="914">
        <f>IF('Feuille saisie commune'!C15="Porcs charcutiers",IF('Feuille saisie commune'!E15&lt;&gt;"",'Feuille saisie commune'!E15,C18))+IF('Feuille saisie commune'!C16="Porcs charcutiers",IF('Feuille saisie commune'!E16&lt;&gt;"",'Feuille saisie commune'!E16,C18))+IF('Feuille saisie commune'!C17="Porcs charcutiers",IF('Feuille saisie commune'!E17&lt;&gt;"",'Feuille saisie commune'!E17,C18))</f>
        <v>4480</v>
      </c>
      <c r="D52" s="926">
        <f>D18</f>
        <v>0</v>
      </c>
      <c r="E52" s="926">
        <f>E18+1.5</f>
        <v>1.5</v>
      </c>
      <c r="F52" s="927">
        <f>C52*D52</f>
        <v>0</v>
      </c>
      <c r="G52" s="927"/>
      <c r="H52" s="908" t="str">
        <f t="shared" si="7"/>
        <v>Porcs charcutiers</v>
      </c>
      <c r="I52" s="928">
        <f>D52*C52</f>
        <v>0</v>
      </c>
      <c r="J52" s="929">
        <f>((EXP(-0.9385-0.0145*U52)*(0.915*D52^1.009)^(0.7364+0.0044*U52))/6.25*1000)*C52/1000</f>
        <v>0</v>
      </c>
      <c r="K52" s="917">
        <f t="shared" si="8"/>
        <v>0</v>
      </c>
      <c r="L52" s="917">
        <f>(-0.00345*D52^2+2.53338*D52)*C52/1000</f>
        <v>0</v>
      </c>
      <c r="M52" s="918">
        <f>(1.006*D52)*C52/1000000</f>
        <v>0</v>
      </c>
      <c r="N52" s="918">
        <f>21.8*D52*C52/1000000</f>
        <v>0</v>
      </c>
      <c r="O52" s="930" t="s">
        <v>50</v>
      </c>
      <c r="P52" s="931" t="s">
        <v>50</v>
      </c>
      <c r="Q52" s="931" t="s">
        <v>50</v>
      </c>
      <c r="R52" s="931" t="s">
        <v>50</v>
      </c>
      <c r="S52" s="931" t="s">
        <v>50</v>
      </c>
      <c r="T52" s="931" t="s">
        <v>50</v>
      </c>
      <c r="U52" s="910">
        <f>IF(E52&lt;&gt;0,E52,60)</f>
        <v>1.5</v>
      </c>
      <c r="V52" s="906"/>
      <c r="W52" s="906"/>
      <c r="X52" s="906"/>
      <c r="Y52" s="906"/>
      <c r="Z52" s="906"/>
      <c r="AA52" s="906"/>
      <c r="AB52" s="906"/>
      <c r="AC52" s="906"/>
      <c r="AD52" s="906"/>
      <c r="AE52" s="904"/>
      <c r="AF52" s="924"/>
      <c r="AG52" s="925"/>
      <c r="AH52" s="925"/>
      <c r="AI52" s="925"/>
      <c r="AJ52" s="925"/>
      <c r="AK52" s="925"/>
      <c r="AL52" s="925"/>
      <c r="AM52" s="925"/>
    </row>
    <row r="53" spans="1:39" s="905" customFormat="1" x14ac:dyDescent="0.25">
      <c r="A53" s="907"/>
      <c r="B53" s="908" t="s">
        <v>472</v>
      </c>
      <c r="C53" s="914">
        <f>C19</f>
        <v>0</v>
      </c>
      <c r="D53" s="926">
        <f>D19</f>
        <v>0</v>
      </c>
      <c r="E53" s="932"/>
      <c r="F53" s="927">
        <f>C53*D53</f>
        <v>0</v>
      </c>
      <c r="G53" s="927"/>
      <c r="H53" s="908" t="str">
        <f t="shared" si="7"/>
        <v>Truies de réforme</v>
      </c>
      <c r="I53" s="928">
        <f>D53*C53</f>
        <v>0</v>
      </c>
      <c r="J53" s="929">
        <f>((EXP(-0.9385-0.0145*U53)*(0.915*D53^1.009)^(0.7364+0.0044*U53))/6.25*1000)*C53/1000</f>
        <v>0</v>
      </c>
      <c r="K53" s="917">
        <f t="shared" si="8"/>
        <v>0</v>
      </c>
      <c r="L53" s="917">
        <f>(-0.00345*D53^2+2.53338*D53)*C53/1000</f>
        <v>0</v>
      </c>
      <c r="M53" s="918">
        <f>(1.006*D53)*C53/1000000</f>
        <v>0</v>
      </c>
      <c r="N53" s="918">
        <f>21.8*D53*C53/1000000</f>
        <v>0</v>
      </c>
      <c r="O53" s="930" t="s">
        <v>50</v>
      </c>
      <c r="P53" s="931" t="s">
        <v>50</v>
      </c>
      <c r="Q53" s="931" t="s">
        <v>50</v>
      </c>
      <c r="R53" s="931" t="s">
        <v>50</v>
      </c>
      <c r="S53" s="931" t="s">
        <v>50</v>
      </c>
      <c r="T53" s="931" t="s">
        <v>50</v>
      </c>
      <c r="U53" s="910">
        <f>IF(E52&lt;&gt;0,E52,60)</f>
        <v>1.5</v>
      </c>
      <c r="V53" s="906"/>
      <c r="W53" s="906"/>
      <c r="X53" s="906"/>
      <c r="Y53" s="906"/>
      <c r="Z53" s="906"/>
      <c r="AA53" s="906"/>
      <c r="AB53" s="906"/>
      <c r="AC53" s="906"/>
      <c r="AD53" s="906"/>
      <c r="AE53" s="904"/>
      <c r="AF53" s="924"/>
      <c r="AG53" s="925"/>
      <c r="AH53" s="925"/>
      <c r="AI53" s="925"/>
      <c r="AJ53" s="925"/>
      <c r="AK53" s="925"/>
      <c r="AL53" s="925"/>
      <c r="AM53" s="925"/>
    </row>
    <row r="54" spans="1:39" s="905" customFormat="1" x14ac:dyDescent="0.25">
      <c r="A54" s="907"/>
      <c r="B54" s="908" t="s">
        <v>473</v>
      </c>
      <c r="C54" s="932"/>
      <c r="D54" s="932"/>
      <c r="E54" s="932"/>
      <c r="F54" s="914">
        <f>F20</f>
        <v>0</v>
      </c>
      <c r="G54" s="919"/>
      <c r="H54" s="908" t="str">
        <f t="shared" si="7"/>
        <v>Équarissage</v>
      </c>
      <c r="I54" s="928">
        <f>F54</f>
        <v>0</v>
      </c>
      <c r="J54" s="929">
        <f>((EXP(-0.9385-0.0145*U54)*(0.915*50^1.009)^(0.7364+0.0044*U54))/6.25*1000)*(F54/50)/1000</f>
        <v>0</v>
      </c>
      <c r="K54" s="917">
        <f t="shared" si="8"/>
        <v>0</v>
      </c>
      <c r="L54" s="917">
        <f>(-0.00345*50^2+2.53338*50)*(F54/50)/1000</f>
        <v>0</v>
      </c>
      <c r="M54" s="918">
        <f>(1.006*50)*(F54/50)/1000000</f>
        <v>0</v>
      </c>
      <c r="N54" s="918">
        <f>21.8*50*(F54/50)/1000000</f>
        <v>0</v>
      </c>
      <c r="O54" s="930" t="s">
        <v>50</v>
      </c>
      <c r="P54" s="931" t="s">
        <v>50</v>
      </c>
      <c r="Q54" s="931" t="s">
        <v>50</v>
      </c>
      <c r="R54" s="931" t="s">
        <v>50</v>
      </c>
      <c r="S54" s="931" t="s">
        <v>50</v>
      </c>
      <c r="T54" s="931" t="s">
        <v>50</v>
      </c>
      <c r="U54" s="910">
        <f>IF(E52&lt;&gt;0,E52,60)</f>
        <v>1.5</v>
      </c>
      <c r="V54" s="906"/>
      <c r="W54" s="906"/>
      <c r="X54" s="906"/>
      <c r="Y54" s="906"/>
      <c r="Z54" s="906"/>
      <c r="AA54" s="906"/>
      <c r="AB54" s="906"/>
      <c r="AC54" s="906"/>
      <c r="AD54" s="906"/>
      <c r="AE54" s="904"/>
      <c r="AF54" s="924"/>
      <c r="AG54" s="925"/>
      <c r="AH54" s="925"/>
      <c r="AI54" s="925"/>
      <c r="AJ54" s="925"/>
      <c r="AK54" s="925"/>
      <c r="AL54" s="925"/>
      <c r="AM54" s="925"/>
    </row>
    <row r="55" spans="1:39" s="905" customFormat="1" x14ac:dyDescent="0.25">
      <c r="A55" s="907"/>
      <c r="B55" s="906"/>
      <c r="C55" s="906"/>
      <c r="D55" s="906"/>
      <c r="E55" s="906"/>
      <c r="F55" s="910"/>
      <c r="G55" s="910"/>
      <c r="H55" s="908" t="s">
        <v>543</v>
      </c>
      <c r="I55" s="928">
        <f t="shared" ref="I55:N55" si="9">SUM(I49:I54)</f>
        <v>0</v>
      </c>
      <c r="J55" s="928">
        <f t="shared" si="9"/>
        <v>0</v>
      </c>
      <c r="K55" s="928">
        <f t="shared" si="9"/>
        <v>0</v>
      </c>
      <c r="L55" s="928">
        <f t="shared" si="9"/>
        <v>0</v>
      </c>
      <c r="M55" s="933">
        <f t="shared" si="9"/>
        <v>0</v>
      </c>
      <c r="N55" s="933">
        <f t="shared" si="9"/>
        <v>0</v>
      </c>
      <c r="O55" s="932">
        <f t="shared" ref="O55:T55" si="10">SUM(O49:O51)</f>
        <v>0</v>
      </c>
      <c r="P55" s="910">
        <f t="shared" si="10"/>
        <v>0</v>
      </c>
      <c r="Q55" s="910">
        <f t="shared" si="10"/>
        <v>0</v>
      </c>
      <c r="R55" s="910">
        <f t="shared" si="10"/>
        <v>0</v>
      </c>
      <c r="S55" s="933">
        <f t="shared" si="10"/>
        <v>0</v>
      </c>
      <c r="T55" s="933">
        <f t="shared" si="10"/>
        <v>0</v>
      </c>
      <c r="U55" s="910"/>
      <c r="V55" s="906"/>
      <c r="W55" s="906"/>
      <c r="X55" s="906"/>
      <c r="Y55" s="906"/>
      <c r="Z55" s="906"/>
      <c r="AA55" s="906"/>
      <c r="AB55" s="906"/>
      <c r="AC55" s="906"/>
      <c r="AD55" s="906"/>
      <c r="AE55" s="904"/>
      <c r="AF55" s="924"/>
      <c r="AG55" s="925"/>
      <c r="AH55" s="925"/>
      <c r="AI55" s="925"/>
      <c r="AJ55" s="925"/>
      <c r="AK55" s="925"/>
      <c r="AL55" s="925"/>
      <c r="AM55" s="925"/>
    </row>
    <row r="56" spans="1:39" s="905" customFormat="1" x14ac:dyDescent="0.25">
      <c r="A56" s="907"/>
      <c r="B56" s="908" t="s">
        <v>879</v>
      </c>
      <c r="C56" s="909" t="s">
        <v>4</v>
      </c>
      <c r="D56" s="909" t="s">
        <v>463</v>
      </c>
      <c r="E56" s="909" t="s">
        <v>464</v>
      </c>
      <c r="F56" s="906"/>
      <c r="G56" s="906"/>
      <c r="H56" s="906"/>
      <c r="I56" s="906"/>
      <c r="J56" s="906"/>
      <c r="K56" s="906"/>
      <c r="L56" s="910"/>
      <c r="M56" s="910"/>
      <c r="N56" s="910"/>
      <c r="O56" s="910"/>
      <c r="P56" s="910"/>
      <c r="Q56" s="910"/>
      <c r="R56" s="910"/>
      <c r="S56" s="910"/>
      <c r="T56" s="910"/>
      <c r="U56" s="910"/>
      <c r="V56" s="910"/>
      <c r="W56" s="910"/>
      <c r="X56" s="910"/>
      <c r="Y56" s="910"/>
      <c r="Z56" s="910"/>
      <c r="AA56" s="910"/>
      <c r="AB56" s="910"/>
      <c r="AC56" s="910"/>
      <c r="AD56" s="910"/>
      <c r="AE56" s="904"/>
      <c r="AF56" s="904"/>
    </row>
    <row r="57" spans="1:39" s="905" customFormat="1" x14ac:dyDescent="0.25">
      <c r="A57" s="907"/>
      <c r="B57" s="906"/>
      <c r="C57" s="909"/>
      <c r="D57" s="909" t="s">
        <v>17</v>
      </c>
      <c r="E57" s="909"/>
      <c r="F57" s="906"/>
      <c r="G57" s="906"/>
      <c r="H57" s="906"/>
      <c r="I57" s="906"/>
      <c r="J57" s="906"/>
      <c r="K57" s="906"/>
      <c r="L57" s="910"/>
      <c r="M57" s="910"/>
      <c r="N57" s="910"/>
      <c r="O57" s="910"/>
      <c r="P57" s="910"/>
      <c r="Q57" s="910"/>
      <c r="R57" s="910"/>
      <c r="S57" s="910"/>
      <c r="T57" s="910"/>
      <c r="U57" s="910"/>
      <c r="V57" s="910"/>
      <c r="W57" s="910"/>
      <c r="X57" s="910"/>
      <c r="Y57" s="910"/>
      <c r="Z57" s="910"/>
      <c r="AA57" s="910"/>
      <c r="AB57" s="910"/>
      <c r="AC57" s="910"/>
      <c r="AD57" s="910"/>
      <c r="AE57" s="904"/>
      <c r="AF57" s="904"/>
    </row>
    <row r="58" spans="1:39" s="905" customFormat="1" x14ac:dyDescent="0.25">
      <c r="A58" s="907"/>
      <c r="B58" s="908" t="s">
        <v>468</v>
      </c>
      <c r="C58" s="914">
        <f t="shared" ref="C58:D60" si="11">C24</f>
        <v>0</v>
      </c>
      <c r="D58" s="934">
        <f t="shared" si="11"/>
        <v>0</v>
      </c>
      <c r="E58" s="926">
        <f>E24+1.2</f>
        <v>1.2</v>
      </c>
      <c r="F58" s="906"/>
      <c r="G58" s="906"/>
      <c r="H58" s="907"/>
      <c r="I58" s="907"/>
      <c r="J58" s="907"/>
      <c r="K58" s="907"/>
      <c r="L58" s="907"/>
      <c r="M58" s="907"/>
      <c r="N58" s="907"/>
      <c r="O58" s="907"/>
      <c r="P58" s="907"/>
      <c r="Q58" s="907"/>
      <c r="R58" s="907"/>
      <c r="S58" s="907"/>
      <c r="T58" s="907"/>
      <c r="U58" s="907"/>
      <c r="V58" s="907"/>
      <c r="W58" s="907"/>
      <c r="X58" s="907"/>
      <c r="Y58" s="907"/>
      <c r="Z58" s="907"/>
      <c r="AA58" s="910"/>
      <c r="AB58" s="910"/>
      <c r="AC58" s="910"/>
      <c r="AD58" s="910"/>
      <c r="AE58" s="904"/>
      <c r="AF58" s="904"/>
    </row>
    <row r="59" spans="1:39" s="905" customFormat="1" x14ac:dyDescent="0.25">
      <c r="A59" s="907"/>
      <c r="B59" s="908" t="s">
        <v>469</v>
      </c>
      <c r="C59" s="914">
        <f>IF('Feuille saisie commune'!C15="Porcs charcutiers",IF('Feuille saisie commune'!E15&lt;&gt;"",'Feuille saisie commune'!E15,C25))+IF('Feuille saisie commune'!C16="Porcs charcutiers",IF('Feuille saisie commune'!E16&lt;&gt;"",'Feuille saisie commune'!E16,C25))+IF('Feuille saisie commune'!C17="Porcs charcutiers",IF('Feuille saisie commune'!E17&lt;&gt;"",'Feuille saisie commune'!E17,C25))</f>
        <v>4480</v>
      </c>
      <c r="D59" s="934">
        <f t="shared" si="11"/>
        <v>0</v>
      </c>
      <c r="E59" s="926">
        <f>E25+1.2</f>
        <v>1.2</v>
      </c>
      <c r="F59" s="906"/>
      <c r="G59" s="906"/>
      <c r="H59" s="907"/>
      <c r="I59" s="907"/>
      <c r="J59" s="907"/>
      <c r="K59" s="907"/>
      <c r="L59" s="907"/>
      <c r="M59" s="907"/>
      <c r="N59" s="907"/>
      <c r="O59" s="907"/>
      <c r="P59" s="907"/>
      <c r="Q59" s="907"/>
      <c r="R59" s="907"/>
      <c r="S59" s="907"/>
      <c r="T59" s="907"/>
      <c r="U59" s="907"/>
      <c r="V59" s="907"/>
      <c r="W59" s="907"/>
      <c r="X59" s="907"/>
      <c r="Y59" s="907"/>
      <c r="Z59" s="907"/>
      <c r="AA59" s="910"/>
      <c r="AB59" s="910"/>
      <c r="AC59" s="910"/>
      <c r="AD59" s="910"/>
      <c r="AE59" s="924"/>
      <c r="AF59" s="924"/>
    </row>
    <row r="60" spans="1:39" s="905" customFormat="1" x14ac:dyDescent="0.25">
      <c r="A60" s="907"/>
      <c r="B60" s="908" t="s">
        <v>474</v>
      </c>
      <c r="C60" s="914">
        <f t="shared" si="11"/>
        <v>0</v>
      </c>
      <c r="D60" s="934">
        <f t="shared" si="11"/>
        <v>0</v>
      </c>
      <c r="E60" s="926">
        <f>E26+1.2</f>
        <v>1.2</v>
      </c>
      <c r="F60" s="906"/>
      <c r="G60" s="935"/>
      <c r="H60" s="936" t="s">
        <v>647</v>
      </c>
      <c r="I60" s="1115" t="s">
        <v>515</v>
      </c>
      <c r="J60" s="1115"/>
      <c r="K60" s="1115"/>
      <c r="L60" s="1115" t="s">
        <v>516</v>
      </c>
      <c r="M60" s="1115"/>
      <c r="N60" s="1115"/>
      <c r="O60" s="1115" t="s">
        <v>523</v>
      </c>
      <c r="P60" s="1115"/>
      <c r="Q60" s="1115"/>
      <c r="R60" s="1115" t="s">
        <v>648</v>
      </c>
      <c r="S60" s="1115"/>
      <c r="T60" s="1115"/>
      <c r="U60" s="1115" t="s">
        <v>525</v>
      </c>
      <c r="V60" s="1115"/>
      <c r="W60" s="1115"/>
      <c r="X60" s="1115" t="s">
        <v>662</v>
      </c>
      <c r="Y60" s="1115"/>
      <c r="Z60" s="1115"/>
      <c r="AA60" s="910"/>
      <c r="AB60" s="910"/>
      <c r="AC60" s="910"/>
      <c r="AD60" s="910"/>
      <c r="AE60" s="924"/>
      <c r="AF60" s="924"/>
    </row>
    <row r="61" spans="1:39" s="905" customFormat="1" x14ac:dyDescent="0.25">
      <c r="A61" s="907"/>
      <c r="B61" s="908"/>
      <c r="C61" s="919"/>
      <c r="D61" s="928"/>
      <c r="E61" s="906"/>
      <c r="F61" s="906"/>
      <c r="G61" s="906"/>
      <c r="H61" s="936" t="s">
        <v>649</v>
      </c>
      <c r="I61" s="937" t="s">
        <v>58</v>
      </c>
      <c r="J61" s="937" t="s">
        <v>510</v>
      </c>
      <c r="K61" s="937" t="s">
        <v>511</v>
      </c>
      <c r="L61" s="937" t="s">
        <v>58</v>
      </c>
      <c r="M61" s="937" t="s">
        <v>510</v>
      </c>
      <c r="N61" s="937" t="s">
        <v>511</v>
      </c>
      <c r="O61" s="937" t="s">
        <v>58</v>
      </c>
      <c r="P61" s="937" t="s">
        <v>510</v>
      </c>
      <c r="Q61" s="937" t="s">
        <v>511</v>
      </c>
      <c r="R61" s="937" t="s">
        <v>58</v>
      </c>
      <c r="S61" s="937" t="s">
        <v>510</v>
      </c>
      <c r="T61" s="937" t="s">
        <v>511</v>
      </c>
      <c r="U61" s="937" t="s">
        <v>58</v>
      </c>
      <c r="V61" s="937" t="s">
        <v>510</v>
      </c>
      <c r="W61" s="937" t="s">
        <v>511</v>
      </c>
      <c r="X61" s="937" t="s">
        <v>58</v>
      </c>
      <c r="Y61" s="937" t="s">
        <v>510</v>
      </c>
      <c r="Z61" s="937" t="s">
        <v>511</v>
      </c>
      <c r="AA61" s="910"/>
      <c r="AB61" s="910"/>
      <c r="AC61" s="910"/>
      <c r="AD61" s="910"/>
      <c r="AE61" s="924"/>
      <c r="AF61" s="924"/>
    </row>
    <row r="62" spans="1:39" s="905" customFormat="1" x14ac:dyDescent="0.25">
      <c r="A62" s="907"/>
      <c r="B62" s="1116" t="s">
        <v>475</v>
      </c>
      <c r="C62" s="1116"/>
      <c r="D62" s="1116"/>
      <c r="E62" s="1116"/>
      <c r="F62" s="1116"/>
      <c r="G62" s="906"/>
      <c r="H62" s="907" t="s">
        <v>540</v>
      </c>
      <c r="I62" s="937">
        <f>IF(Param_porcs!$G$16=11,('Porc (Effectif détaillé)'!$C$41+'Porc (Effectif détaillé)'!$D$41+'Porc (Effectif détaillé)'!$C$42+'Porc (Effectif détaillé)'!$D$42)/2*24.6*(1-Param_porcs!G34/100),0)+IF(Param_porcs!$G$17=11,('Porc (Effectif détaillé)'!$C$41+'Porc (Effectif détaillé)'!$D$41+'Porc (Effectif détaillé)'!$C$42+'Porc (Effectif détaillé)'!$D$42)/2*24.6*(1-Param_porcs!G34/100),0)+IF(Param_porcs!$G$18=11,('Porc (Effectif détaillé)'!$C$41+'Porc (Effectif détaillé)'!$D$41+'Porc (Effectif détaillé)'!$C$42+'Porc (Effectif détaillé)'!$D$42)/2*24.6*(1-Param_porcs!G34/100),0)</f>
        <v>0</v>
      </c>
      <c r="J62" s="937">
        <f>IF(Param_porcs!$G$16=11,('Porc (Effectif détaillé)'!$C$41+'Porc (Effectif détaillé)'!$D$41+'Porc (Effectif détaillé)'!$C$42+'Porc (Effectif détaillé)'!$D$42)/2*14,0)+IF(Param_porcs!$G$17=11,('Porc (Effectif détaillé)'!$C$41+'Porc (Effectif détaillé)'!$D$41+'Porc (Effectif détaillé)'!$C$42+'Porc (Effectif détaillé)'!$D$42)/2*14,0)+IF(Param_porcs!$G$18=11,('Porc (Effectif détaillé)'!$C$41+'Porc (Effectif détaillé)'!$D$41+'Porc (Effectif détaillé)'!$C$42+'Porc (Effectif détaillé)'!$D$42)/2*14,0)</f>
        <v>0</v>
      </c>
      <c r="K62" s="938">
        <f>IF(Param_porcs!$G$16=11,('Porc (Effectif détaillé)'!$C$41+'Porc (Effectif détaillé)'!$D$41+'Porc (Effectif détaillé)'!$C$42+'Porc (Effectif détaillé)'!$D$42)/2*10.9,0)+IF(Param_porcs!$G$17=11,('Porc (Effectif détaillé)'!$C$41+'Porc (Effectif détaillé)'!$D$41+'Porc (Effectif détaillé)'!$C$42+'Porc (Effectif détaillé)'!$D$42)/2*10.9,0)+IF(Param_porcs!$G$18=11,('Porc (Effectif détaillé)'!$C$41+'Porc (Effectif détaillé)'!$D$41+'Porc (Effectif détaillé)'!$C$42+'Porc (Effectif détaillé)'!$D$42)/2*10.9,0)</f>
        <v>0</v>
      </c>
      <c r="L62" s="937">
        <f>IF(Param_porcs!$G$16=21,('Porc (Effectif détaillé)'!$C$41+'Porc (Effectif détaillé)'!$D$41+'Porc (Effectif détaillé)'!$C$42+'Porc (Effectif détaillé)'!$D$42)/2*24.6*(1-Param_porcs!G73/100),0)+IF(Param_porcs!$G$17=21,('Porc (Effectif détaillé)'!$C$41+'Porc (Effectif détaillé)'!$D$41+'Porc (Effectif détaillé)'!$C$42+'Porc (Effectif détaillé)'!$D$42)/2*24.6*(1-Param_porcs!G73/100),0)+IF(Param_porcs!$G$18=21,('Porc (Effectif détaillé)'!$C$41+'Porc (Effectif détaillé)'!$D$41+'Porc (Effectif détaillé)'!$C$42+'Porc (Effectif détaillé)'!$D$42)/2*24.6*(1-Param_porcs!G73/100),0)</f>
        <v>3505.5</v>
      </c>
      <c r="M62" s="937">
        <f>IF(Param_porcs!$G$16=21,('Porc (Effectif détaillé)'!$C$41+'Porc (Effectif détaillé)'!$D$41+'Porc (Effectif détaillé)'!$C$42+'Porc (Effectif détaillé)'!$D$42)/2*14,0)+IF(Param_porcs!$G$17=21,('Porc (Effectif détaillé)'!$C$41+'Porc (Effectif détaillé)'!$D$41+'Porc (Effectif détaillé)'!$C$42+'Porc (Effectif détaillé)'!$D$42)/2*14,0)+IF(Param_porcs!$G$18=21,('Porc (Effectif détaillé)'!$C$41+'Porc (Effectif détaillé)'!$D$41+'Porc (Effectif détaillé)'!$C$42+'Porc (Effectif détaillé)'!$D$42)/2*14,0)</f>
        <v>2800</v>
      </c>
      <c r="N62" s="938">
        <f>IF(Param_porcs!$G$16=21,('Porc (Effectif détaillé)'!$C$41+'Porc (Effectif détaillé)'!$D$41+'Porc (Effectif détaillé)'!$C$42+'Porc (Effectif détaillé)'!$D$42)/2*10.9,0)+IF(Param_porcs!$G$17=21,('Porc (Effectif détaillé)'!$C$41+'Porc (Effectif détaillé)'!$D$41+'Porc (Effectif détaillé)'!$C$42+'Porc (Effectif détaillé)'!$D$42)/2*10.9,0)+IF(Param_porcs!$G$18=21,('Porc (Effectif détaillé)'!$C$41+'Porc (Effectif détaillé)'!$D$41+'Porc (Effectif détaillé)'!$C$42+'Porc (Effectif détaillé)'!$D$42)/2*10.9,0)</f>
        <v>2180</v>
      </c>
      <c r="O62" s="937">
        <f>(IF(Param_porcs!$G$16=31,('Porc (Effectif détaillé)'!$C$41+'Porc (Effectif détaillé)'!$D$41+'Porc (Effectif détaillé)'!$C$42+'Porc (Effectif détaillé)'!$D$42)/2,0)+IF(Param_porcs!$G$17=31,('Porc (Effectif détaillé)'!$C$41+'Porc (Effectif détaillé)'!$D$41+'Porc (Effectif détaillé)'!$C$42+'Porc (Effectif détaillé)'!$D$42)/2,0)+IF(Param_porcs!$G$18=31,('Porc (Effectif détaillé)'!$C$41+'Porc (Effectif détaillé)'!$D$41+'Porc (Effectif détaillé)'!$C$42+'Porc (Effectif détaillé)'!$D$42)/2,0))*(24.6*(1-Param_porcs!G114/100)+3.72)</f>
        <v>0</v>
      </c>
      <c r="P62" s="937">
        <f>IF(Param_porcs!$G$16=31,('Porc (Effectif détaillé)'!$C$41+'Porc (Effectif détaillé)'!$D$41+'Porc (Effectif détaillé)'!$C$42+'Porc (Effectif détaillé)'!$D$42)/2*14.7,0)+IF(Param_porcs!$G$17=31,('Porc (Effectif détaillé)'!$C$41+'Porc (Effectif détaillé)'!$D$41+'Porc (Effectif détaillé)'!$C$42+'Porc (Effectif détaillé)'!$D$42)/2*14.7,0)+IF(Param_porcs!$G$18=31,('Porc (Effectif détaillé)'!$C$41+'Porc (Effectif détaillé)'!$D$41+'Porc (Effectif détaillé)'!$C$42+'Porc (Effectif détaillé)'!$D$42)/2*14.7,0)</f>
        <v>0</v>
      </c>
      <c r="Q62" s="938">
        <f>IF(Param_porcs!$G$16=31,('Porc (Effectif détaillé)'!$C$41+'Porc (Effectif détaillé)'!$D$41+'Porc (Effectif détaillé)'!$C$42+'Porc (Effectif détaillé)'!$D$42)/2*14.1,0)+IF(Param_porcs!$G$17=31,('Porc (Effectif détaillé)'!$C$41+'Porc (Effectif détaillé)'!$D$41+'Porc (Effectif détaillé)'!$C$42+'Porc (Effectif détaillé)'!$D$42)/2*14.1,0)+IF(Param_porcs!$G$18=31,('Porc (Effectif détaillé)'!$C$41+'Porc (Effectif détaillé)'!$D$41+'Porc (Effectif détaillé)'!$C$42+'Porc (Effectif détaillé)'!$D$42)/2*14.1,0)</f>
        <v>0</v>
      </c>
      <c r="R62" s="937">
        <f>(IF(Param_porcs!$G$16=41,('Porc (Effectif détaillé)'!$C$41+'Porc (Effectif détaillé)'!$D$41+'Porc (Effectif détaillé)'!$C$42+'Porc (Effectif détaillé)'!$D$42)/2,0)+IF(Param_porcs!$G$17=41,('Porc (Effectif détaillé)'!$C$41+'Porc (Effectif détaillé)'!$D$41+'Porc (Effectif détaillé)'!$C$42+'Porc (Effectif détaillé)'!$D$42)/2,0)+IF(Param_porcs!$G$18=41,('Porc (Effectif détaillé)'!$C$41+'Porc (Effectif détaillé)'!$D$41+'Porc (Effectif détaillé)'!$C$42+'Porc (Effectif détaillé)'!$D$42)/2,0))*(24.6*(1-Param_porcs!G155/100)+4.42)</f>
        <v>0</v>
      </c>
      <c r="S62" s="937">
        <f>IF(Param_porcs!$G$16=41,('Porc (Effectif détaillé)'!$C$41+'Porc (Effectif détaillé)'!$D$41+'Porc (Effectif détaillé)'!$C$42+'Porc (Effectif détaillé)'!$D$42)/2*14.7,0)+IF(Param_porcs!$G$17=41,('Porc (Effectif détaillé)'!$C$41+'Porc (Effectif détaillé)'!$D$41+'Porc (Effectif détaillé)'!$C$42+'Porc (Effectif détaillé)'!$D$42)/2*14.7,0)+IF(Param_porcs!$G$18=41,('Porc (Effectif détaillé)'!$C$41+'Porc (Effectif détaillé)'!$D$41+'Porc (Effectif détaillé)'!$C$42+'Porc (Effectif détaillé)'!$D$42)/2*14.7,0)</f>
        <v>0</v>
      </c>
      <c r="T62" s="938">
        <f>IF(Param_porcs!$G$16=41,('Porc (Effectif détaillé)'!$C$41+'Porc (Effectif détaillé)'!$D$41+'Porc (Effectif détaillé)'!$C$42+'Porc (Effectif détaillé)'!$D$42)/2*14.1,0)+IF(Param_porcs!$G$17=41,('Porc (Effectif détaillé)'!$C$41+'Porc (Effectif détaillé)'!$D$41+'Porc (Effectif détaillé)'!$C$42+'Porc (Effectif détaillé)'!$D$42)/2*14.1,0)+IF(Param_porcs!$G$18=41,('Porc (Effectif détaillé)'!$C$41+'Porc (Effectif détaillé)'!$D$41+'Porc (Effectif détaillé)'!$C$42+'Porc (Effectif détaillé)'!$D$42)/2*14.1,0)</f>
        <v>0</v>
      </c>
      <c r="U62" s="937"/>
      <c r="V62" s="937"/>
      <c r="W62" s="938"/>
      <c r="X62" s="937"/>
      <c r="Y62" s="937"/>
      <c r="Z62" s="938"/>
      <c r="AA62" s="910"/>
      <c r="AB62" s="910"/>
      <c r="AC62" s="910"/>
      <c r="AD62" s="910"/>
      <c r="AE62" s="924"/>
      <c r="AF62" s="924"/>
    </row>
    <row r="63" spans="1:39" s="905" customFormat="1" x14ac:dyDescent="0.25">
      <c r="A63" s="907"/>
      <c r="B63" s="1117" t="s">
        <v>476</v>
      </c>
      <c r="C63" s="1117"/>
      <c r="D63" s="1117"/>
      <c r="E63" s="1117"/>
      <c r="F63" s="1117"/>
      <c r="G63" s="906"/>
      <c r="H63" s="907" t="s">
        <v>471</v>
      </c>
      <c r="I63" s="937">
        <f>IF(Param_porcs!$G$16=12,($C$51+$C$52)*4.56*(1-Param_porcs!G34/100),0)+IF(Param_porcs!$G$17=12,($C$51+$C$52)*4.56*(1-Param_porcs!G34/100),0)+IF(Param_porcs!$G$18=12,($C$51+$C$52)*4.56*(1-Param_porcs!G34/100),0)</f>
        <v>0</v>
      </c>
      <c r="J63" s="937">
        <f>IF(Param_porcs!$G$16=12,($C$51+$C$52)*2.1,0)+IF(Param_porcs!$G$17=12,($C$51+$C$52)*2.1,0)+IF(Param_porcs!$G$18=12,($C$51+$C$52)*2.1,0)</f>
        <v>0</v>
      </c>
      <c r="K63" s="937">
        <f>IF(Param_porcs!$G$16=12,($C$51+$C$52)*2.21,0)+IF(Param_porcs!$G$17=12,($C$51+$C$52)*2.21,0)+IF(Param_porcs!$G$18=12,($C$51+$C$52)*2.21,0)</f>
        <v>0</v>
      </c>
      <c r="L63" s="937">
        <f>IF(Param_porcs!$G$16=22,($C$51+$C$52)*4.56*(1-Param_porcs!G73/100),0)+IF(Param_porcs!$G$17=22,($C$51+$C$52)*4.56*(1-Param_porcs!G73/100),0)+IF(Param_porcs!$G$18=22,($C$51+$C$52)*4.56*(1-Param_porcs!G73/100),0)</f>
        <v>0</v>
      </c>
      <c r="M63" s="937">
        <f>IF(Param_porcs!$G$16=22,($C$51+$C$52)*2.1,0)+IF(Param_porcs!$G$17=22,($C$51+$C$52)*2.1,0)+IF(Param_porcs!$G$18=22,($C$51+$C$52)*2.1,0)</f>
        <v>0</v>
      </c>
      <c r="N63" s="937">
        <f>IF(Param_porcs!$G$16=22,($C$51+$C$52)*2.21,0)+IF(Param_porcs!$G$17=22,($C$51+$C$52)*2.21,0)+IF(Param_porcs!$G$18=22,($C$51+$C$52)*2.21,0)</f>
        <v>0</v>
      </c>
      <c r="O63" s="939">
        <f>(IF(Param_porcs!$G$16=32,($C$51+$C$52),0)+IF(Param_porcs!$G$17=32,($C$51+$C$52),0)+IF(Param_porcs!$G$18=32,($C$51+$C$52),0))*(4.56*(1-Param_porcs!G114/100)+0.37)</f>
        <v>0</v>
      </c>
      <c r="P63" s="937">
        <f>IF(Param_porcs!$G$16=32,($C$51+$C$52)*2.27,0)+IF(Param_porcs!$G$17=32,($C$51+$C$52)*2.27,0)+IF(Param_porcs!$G$18=32,($C$51+$C$52)*2.27,0)</f>
        <v>0</v>
      </c>
      <c r="Q63" s="937">
        <f>IF(Param_porcs!$G$16=32,($C$51+$C$52)*3.2,0)+IF(Param_porcs!$G$17=32,($C$51+$C$52)*3.2,0)+IF(Param_porcs!$G$18=32,($C$51+$C$52)*3.2,0)</f>
        <v>0</v>
      </c>
      <c r="R63" s="939">
        <f>(IF(Param_porcs!$G$16=42,($C$51+$C$52),0)+IF(Param_porcs!$G$17=42,($C$51+$C$52),0)+IF(Param_porcs!$G$18=42,($C$51+$C$52),0))*(4.56*(1-Param_porcs!G155/100)+0.262)</f>
        <v>0</v>
      </c>
      <c r="S63" s="937">
        <f>IF(Param_porcs!$G$16=42,($C$51+$C$52)*2.27,0)+IF(Param_porcs!$G$17=42,($C$51+$C$52)*2.27,0)+IF(Param_porcs!$G$18=42,($C$51+$C$52)*2.27,0)</f>
        <v>0</v>
      </c>
      <c r="T63" s="937">
        <f>IF(Param_porcs!$G$16=42,($C$51+$C$52)*3.2,0)+IF(Param_porcs!$G$17=42,($C$51+$C$52)*3.2,0)+IF(Param_porcs!$G$18=42,($C$51+$C$52)*3.2,0)</f>
        <v>0</v>
      </c>
      <c r="U63" s="939">
        <f>(IF(Param_porcs!$G$16=52,($C$51+$C$52),0)+IF(Param_porcs!$G$17=52,($C$51+$C$52),0)+IF(Param_porcs!$G$18=52,($C$51+$C$52),0))*(4.56*(1-Param_porcs!G196/100)+0.093)</f>
        <v>6136.7039999999997</v>
      </c>
      <c r="V63" s="937">
        <f>IF(Param_porcs!$G$16=52,($C$51+$C$52)*2.1,0)+IF(Param_porcs!$G$17=52,($C$51+$C$52)*2.1,0)+IF(Param_porcs!$G$18=52,($C$51+$C$52)*2.1,0)</f>
        <v>9408</v>
      </c>
      <c r="W63" s="937">
        <f>IF(Param_porcs!$G$16=52,($C$51+$C$52)*2.23,0)+IF(Param_porcs!$G$17=52,($C$51+$C$52)*2.23,0)+IF(Param_porcs!$G$18=52,($C$51+$C$52)*2.23,0)</f>
        <v>9990.4</v>
      </c>
      <c r="X63" s="939">
        <f>(IF(Param_porcs!$G$16=62,($C$51+$C$52),0)+IF(Param_porcs!$G$17=62,($C$51+$C$52),0)+IF(Param_porcs!$G$18=62,($C$51+$C$52),0))*(4.56*(1-Param_porcs!G238/100)+0.08)</f>
        <v>0</v>
      </c>
      <c r="Y63" s="937">
        <f>IF(Param_porcs!$G$16=62,($C$51+$C$52)*2.1,0)+IF(Param_porcs!$G$17=62,($C$51+$C$52)*2.1,0)+IF(Param_porcs!$G$18=62,($C$51+$C$52)*2.1,0)</f>
        <v>0</v>
      </c>
      <c r="Z63" s="937">
        <f>IF(Param_porcs!$G$16=62,($C$51+$C$52)*2.23,0)+IF(Param_porcs!$G$17=62,($C$51+$C$52)*2.23,0)+IF(Param_porcs!$G$18=62,($C$51+$C$52)*2.23,0)</f>
        <v>0</v>
      </c>
      <c r="AA63" s="910"/>
      <c r="AB63" s="910"/>
      <c r="AC63" s="910"/>
      <c r="AD63" s="910"/>
      <c r="AE63" s="924"/>
      <c r="AF63" s="924"/>
    </row>
    <row r="64" spans="1:39" s="905" customFormat="1" x14ac:dyDescent="0.25">
      <c r="A64" s="907"/>
      <c r="B64" s="906"/>
      <c r="C64" s="906"/>
      <c r="D64" s="906"/>
      <c r="E64" s="906"/>
      <c r="F64" s="906"/>
      <c r="G64" s="906"/>
      <c r="H64" s="907" t="s">
        <v>634</v>
      </c>
      <c r="I64" s="937">
        <f>IF(Param_porcs!$G$16=13,($C$50+$C$52-C59)*0.62*(1-Param_porcs!G34/100),0)+IF(Param_porcs!$G$17=13,($C$50+$C$52-C59)*0.62*(1-Param_porcs!G34/100),0)+IF(Param_porcs!$G$18=13,($C$50+$C$52-C59)*0.62*(1-Param_porcs!G34/100),0)</f>
        <v>0</v>
      </c>
      <c r="J64" s="938">
        <f>IF(Param_porcs!$G$16=13,($C$50+$C$52-C59)*0.31,0)+IF(Param_porcs!$G$17=13,($C$50+$C$52-C59)*0.31,0)+IF(Param_porcs!$G$18=13,($C$50+$C$52-C59)*0.31,0)</f>
        <v>0</v>
      </c>
      <c r="K64" s="938">
        <f>IF(Param_porcs!$G$16=13,($C$50+$C$52-C59)*0.37,0)+IF(Param_porcs!$G$17=13,($C$50+$C$52-C59)*0.37,0)+IF(Param_porcs!$G$18=13,($C$50+$C$52-C59)*0.37,0)</f>
        <v>0</v>
      </c>
      <c r="L64" s="937">
        <f>IF(Param_porcs!$G$16=23,($C$50+$C$52-C59)*0.62*(1-Param_porcs!G73/100),0)+IF(Param_porcs!$G$17=23,($C$50+$C$52-C59)*0.62*(1-Param_porcs!G73/100),0)+IF(Param_porcs!$G$18=23,($C$50+$C$52-C59)*0.62*(1-Param_porcs!G73/100),0)</f>
        <v>0</v>
      </c>
      <c r="M64" s="938">
        <f>IF(Param_porcs!$G$16=23,($C$50+$C$52-C59)*0.31,0)+IF(Param_porcs!$G$17=23,($C$50+$C$52-C59)*0.31,0)+IF(Param_porcs!$G$18=23,($C$50+$C$52-C59)*0.31,0)</f>
        <v>0</v>
      </c>
      <c r="N64" s="938">
        <f>IF(Param_porcs!$G$16=23,($C$50+$C$52-C59)*0.37,0)+IF(Param_porcs!$G$17=23,($C$50+$C$52-C59)*0.37,0)+IF(Param_porcs!$G$18=23,($C$50+$C$52-C59)*0.37,0)</f>
        <v>0</v>
      </c>
      <c r="O64" s="937">
        <f>(IF(Param_porcs!$G$16=33,($C$50+$C$52-C59),0)+IF(Param_porcs!$G$17=33,($C$50+$C$52-C59),0)+IF(Param_porcs!$G$18=33,($C$50+$C$52-C59),0))*(0.62*(1-Param_porcs!G114/100)+0.043)</f>
        <v>0</v>
      </c>
      <c r="P64" s="938">
        <f>IF(Param_porcs!$G$16=33,($C$50+$C$52-C59)*0.32,0)+IF(Param_porcs!$G$17=33,($C$50+$C$52-C59)*0.32,0)+IF(Param_porcs!$G$18=33,($C$50+$C$52-C59)*0.32,0)</f>
        <v>0</v>
      </c>
      <c r="Q64" s="938">
        <f>IF(Param_porcs!$G$16=33,($C$50+$C$52-C59)*0.5,0)+IF(Param_porcs!$G$17=33,($C$50+$C$52-C59)*0.5,0)+IF(Param_porcs!$G$18=33,($C$50+$C$52-C59)*0.5,0)</f>
        <v>0</v>
      </c>
      <c r="R64" s="939">
        <f>(IF(Param_porcs!$G$16=43,($C$50+$C$52-C59),0)+IF(Param_porcs!$G$17=43,($C$50+$C$52-C59),0)+IF(Param_porcs!$G$18=43,($C$50+$C$52-C59),0))*(0.62*(1-Param_porcs!G155/100)+0.034)</f>
        <v>1013.8273844428799</v>
      </c>
      <c r="S64" s="938">
        <f>IF(Param_porcs!$G$16=43,($C$50+$C$52-C59)*0.32,0)+IF(Param_porcs!$G$17=43,($C$50+$C$52-C59)*0.32,0)+IF(Param_porcs!$G$18=43,($C$50+$C$52-C59)*0.32,0)</f>
        <v>1433.6000000000001</v>
      </c>
      <c r="T64" s="938">
        <f>IF(Param_porcs!$G$16=43,($C$50+$C$52-C59)*0.5,0)+IF(Param_porcs!$G$17=43,($C$50+$C$52-C59)*0.5,0)+IF(Param_porcs!$G$18=43,($C$50+$C$52-C59)*0.5,0)</f>
        <v>2240</v>
      </c>
      <c r="U64" s="939">
        <f>(IF(Param_porcs!$G$16=53,($C$50+$C$52-C59),0)+IF(Param_porcs!$G$17=53,($C$50+$C$52-C59),0)+IF(Param_porcs!$G$18=53,($C$50+$C$52-C59),0))*(0.62*(1-Param_porcs!G196/100)+0.0164)</f>
        <v>0</v>
      </c>
      <c r="V64" s="938">
        <f>IF(Param_porcs!$G$16=53,($C$50+$C$52-C59)*0.31,0)+IF(Param_porcs!$G$17=53,($C$50+$C$52-C59)*0.31,0)+IF(Param_porcs!$G$18=53,($C$50+$C$52-C59)*0.31,0)</f>
        <v>0</v>
      </c>
      <c r="W64" s="938">
        <f>IF(Param_porcs!$G$16=53,($C$50+$C$52-C59)*0.38,0)+IF(Param_porcs!$G$17=53,($C$50+$C$52-C59)*0.38,0)+IF(Param_porcs!$G$18=53,($C$50+$C$52-C59)*0.38,0)</f>
        <v>0</v>
      </c>
      <c r="X64" s="939">
        <f>(IF(Param_porcs!$G$16=63,($C$50+$C$52-C59),0)+IF(Param_porcs!$G$17=63,($C$50+$C$52-C59),0)+IF(Param_porcs!$G$18=63,($C$50+$C$52-C59),0))*(0.62*(1-Param_porcs!G238/100)+0.0138)</f>
        <v>0</v>
      </c>
      <c r="Y64" s="938">
        <f>IF(Param_porcs!$G$16=63,($C$50+$C$52-C59)*0.31,0)+IF(Param_porcs!$G$17=63,($C$50+$C$52-C59)*0.31,0)+IF(Param_porcs!$G$18=63,($C$50+$C$52-C59)*0.31,0)</f>
        <v>0</v>
      </c>
      <c r="Z64" s="938">
        <f>IF(Param_porcs!$G$16=63,($C$50+$C$52-C59)*0.38,0)+IF(Param_porcs!$G$17=63,($C$50+$C$52-C59)*0.38,0)+IF(Param_porcs!$G$18=63,($C$50+$C$52-C59)*0.38,0)</f>
        <v>0</v>
      </c>
      <c r="AA64" s="910"/>
      <c r="AB64" s="910"/>
      <c r="AC64" s="910"/>
      <c r="AD64" s="910"/>
      <c r="AE64" s="924"/>
      <c r="AF64" s="924"/>
    </row>
    <row r="65" spans="1:32" s="905" customFormat="1" x14ac:dyDescent="0.25">
      <c r="A65" s="907"/>
      <c r="B65" s="906"/>
      <c r="C65" s="906"/>
      <c r="D65" s="906"/>
      <c r="E65" s="906"/>
      <c r="F65" s="906"/>
      <c r="G65" s="906"/>
      <c r="H65" s="907" t="s">
        <v>543</v>
      </c>
      <c r="I65" s="940">
        <f>I62+I63+I64</f>
        <v>0</v>
      </c>
      <c r="J65" s="941">
        <f t="shared" ref="J65:N65" si="12">J62+J63+J64</f>
        <v>0</v>
      </c>
      <c r="K65" s="941">
        <f t="shared" si="12"/>
        <v>0</v>
      </c>
      <c r="L65" s="940">
        <f t="shared" si="12"/>
        <v>3505.5</v>
      </c>
      <c r="M65" s="940">
        <f t="shared" si="12"/>
        <v>2800</v>
      </c>
      <c r="N65" s="940">
        <f t="shared" si="12"/>
        <v>2180</v>
      </c>
      <c r="O65" s="940">
        <f t="shared" ref="O65" si="13">O62+O63+O64</f>
        <v>0</v>
      </c>
      <c r="P65" s="940">
        <f t="shared" ref="P65" si="14">P62+P63+P64</f>
        <v>0</v>
      </c>
      <c r="Q65" s="940">
        <f t="shared" ref="Q65:S65" si="15">Q62+Q63+Q64</f>
        <v>0</v>
      </c>
      <c r="R65" s="940">
        <f t="shared" si="15"/>
        <v>1013.8273844428799</v>
      </c>
      <c r="S65" s="940">
        <f t="shared" si="15"/>
        <v>1433.6000000000001</v>
      </c>
      <c r="T65" s="940">
        <f t="shared" ref="T65:V65" si="16">T62+T63+T64</f>
        <v>2240</v>
      </c>
      <c r="U65" s="940">
        <f>U62+U63+U64</f>
        <v>6136.7039999999997</v>
      </c>
      <c r="V65" s="940">
        <f t="shared" si="16"/>
        <v>9408</v>
      </c>
      <c r="W65" s="940">
        <f t="shared" ref="W65:Z65" si="17">W62+W63+W64</f>
        <v>9990.4</v>
      </c>
      <c r="X65" s="940">
        <f t="shared" si="17"/>
        <v>0</v>
      </c>
      <c r="Y65" s="940">
        <f t="shared" si="17"/>
        <v>0</v>
      </c>
      <c r="Z65" s="940">
        <f t="shared" si="17"/>
        <v>0</v>
      </c>
      <c r="AA65" s="910"/>
      <c r="AB65" s="910"/>
      <c r="AC65" s="910"/>
      <c r="AD65" s="910"/>
      <c r="AE65" s="904"/>
      <c r="AF65" s="904"/>
    </row>
    <row r="66" spans="1:32" s="905" customFormat="1" x14ac:dyDescent="0.25">
      <c r="A66" s="907"/>
      <c r="B66" s="906"/>
      <c r="C66" s="906"/>
      <c r="D66" s="906"/>
      <c r="E66" s="906"/>
      <c r="F66" s="906"/>
      <c r="G66" s="906"/>
      <c r="H66" s="907"/>
      <c r="I66" s="907"/>
      <c r="J66" s="907"/>
      <c r="K66" s="907"/>
      <c r="L66" s="907"/>
      <c r="M66" s="907"/>
      <c r="N66" s="907"/>
      <c r="O66" s="907"/>
      <c r="P66" s="907"/>
      <c r="Q66" s="907"/>
      <c r="R66" s="907"/>
      <c r="S66" s="907"/>
      <c r="T66" s="907"/>
      <c r="U66" s="907"/>
      <c r="V66" s="907"/>
      <c r="W66" s="907"/>
      <c r="X66" s="907"/>
      <c r="Y66" s="907"/>
      <c r="Z66" s="907"/>
      <c r="AA66" s="906"/>
      <c r="AB66" s="906"/>
      <c r="AC66" s="906"/>
      <c r="AD66" s="906"/>
      <c r="AE66" s="904"/>
      <c r="AF66" s="904"/>
    </row>
    <row r="67" spans="1:32" s="905" customFormat="1" x14ac:dyDescent="0.25">
      <c r="A67" s="907"/>
      <c r="B67" s="906"/>
      <c r="C67" s="906"/>
      <c r="D67" s="906"/>
      <c r="E67" s="906"/>
      <c r="F67" s="906"/>
      <c r="G67" s="906"/>
      <c r="H67" s="936" t="s">
        <v>647</v>
      </c>
      <c r="I67" s="1115" t="s">
        <v>515</v>
      </c>
      <c r="J67" s="1115"/>
      <c r="K67" s="1115"/>
      <c r="L67" s="1115" t="s">
        <v>516</v>
      </c>
      <c r="M67" s="1115"/>
      <c r="N67" s="1115"/>
      <c r="O67" s="1115" t="s">
        <v>523</v>
      </c>
      <c r="P67" s="1115"/>
      <c r="Q67" s="1115"/>
      <c r="R67" s="1115" t="s">
        <v>648</v>
      </c>
      <c r="S67" s="1115"/>
      <c r="T67" s="1115"/>
      <c r="U67" s="1115" t="s">
        <v>525</v>
      </c>
      <c r="V67" s="1115"/>
      <c r="W67" s="1115"/>
      <c r="X67" s="1115" t="s">
        <v>662</v>
      </c>
      <c r="Y67" s="1115"/>
      <c r="Z67" s="1115"/>
      <c r="AA67" s="906"/>
      <c r="AB67" s="906"/>
      <c r="AC67" s="906"/>
      <c r="AD67" s="906"/>
      <c r="AE67" s="904"/>
      <c r="AF67" s="904"/>
    </row>
    <row r="68" spans="1:32" s="905" customFormat="1" x14ac:dyDescent="0.25">
      <c r="A68" s="907"/>
      <c r="B68" s="906"/>
      <c r="C68" s="906"/>
      <c r="D68" s="906"/>
      <c r="E68" s="906"/>
      <c r="F68" s="906"/>
      <c r="G68" s="906"/>
      <c r="H68" s="936" t="s">
        <v>650</v>
      </c>
      <c r="I68" s="937" t="s">
        <v>58</v>
      </c>
      <c r="J68" s="937" t="s">
        <v>510</v>
      </c>
      <c r="K68" s="937" t="s">
        <v>511</v>
      </c>
      <c r="L68" s="937" t="s">
        <v>58</v>
      </c>
      <c r="M68" s="937" t="s">
        <v>510</v>
      </c>
      <c r="N68" s="937" t="s">
        <v>511</v>
      </c>
      <c r="O68" s="937" t="s">
        <v>58</v>
      </c>
      <c r="P68" s="937" t="s">
        <v>510</v>
      </c>
      <c r="Q68" s="937" t="s">
        <v>511</v>
      </c>
      <c r="R68" s="937" t="s">
        <v>58</v>
      </c>
      <c r="S68" s="937" t="s">
        <v>510</v>
      </c>
      <c r="T68" s="937" t="s">
        <v>511</v>
      </c>
      <c r="U68" s="937" t="s">
        <v>58</v>
      </c>
      <c r="V68" s="937" t="s">
        <v>510</v>
      </c>
      <c r="W68" s="937" t="s">
        <v>511</v>
      </c>
      <c r="X68" s="937" t="s">
        <v>58</v>
      </c>
      <c r="Y68" s="937" t="s">
        <v>510</v>
      </c>
      <c r="Z68" s="937" t="s">
        <v>511</v>
      </c>
      <c r="AA68" s="906"/>
      <c r="AB68" s="906"/>
      <c r="AC68" s="906"/>
      <c r="AD68" s="906"/>
      <c r="AE68" s="904"/>
      <c r="AF68" s="904"/>
    </row>
    <row r="69" spans="1:32" s="905" customFormat="1" x14ac:dyDescent="0.25">
      <c r="A69" s="907"/>
      <c r="B69" s="906"/>
      <c r="C69" s="906"/>
      <c r="D69" s="906"/>
      <c r="E69" s="906"/>
      <c r="F69" s="906"/>
      <c r="G69" s="906"/>
      <c r="H69" s="907" t="s">
        <v>540</v>
      </c>
      <c r="I69" s="937">
        <f>IF(Param_porcs!$G$16=11,('Porc (Effectif détaillé)'!$C$41+'Porc (Effectif détaillé)'!$D$41+'Porc (Effectif détaillé)'!$C$42+'Porc (Effectif détaillé)'!$D$42)/2*20.4*(1-Param_porcs!G34/100),0)+IF(Param_porcs!$G$17=11,('Porc (Effectif détaillé)'!$C$41+'Porc (Effectif détaillé)'!$D$41+'Porc (Effectif détaillé)'!$C$42+'Porc (Effectif détaillé)'!$D$42)/2*20.4*(1-Param_porcs!G34/100),0)+IF(Param_porcs!$G$18=11,('Porc (Effectif détaillé)'!$C$41+'Porc (Effectif détaillé)'!$D$41+'Porc (Effectif détaillé)'!$C$42+'Porc (Effectif détaillé)'!$D$42)/2*20.4*(1-Param_porcs!G34/100),0)</f>
        <v>0</v>
      </c>
      <c r="J69" s="937">
        <f>IF(Param_porcs!$G$16=11,('Porc (Effectif détaillé)'!$C$41+'Porc (Effectif détaillé)'!$D$41+'Porc (Effectif détaillé)'!$C$42+'Porc (Effectif détaillé)'!$D$42)/2*11,0)+IF(Param_porcs!$G$17=11,('Porc (Effectif détaillé)'!$C$41+'Porc (Effectif détaillé)'!$D$41+'Porc (Effectif détaillé)'!$C$42+'Porc (Effectif détaillé)'!$D$42)/2*11,0)+IF(Param_porcs!$G$18=11,('Porc (Effectif détaillé)'!$C$41+'Porc (Effectif détaillé)'!$D$41+'Porc (Effectif détaillé)'!$C$42+'Porc (Effectif détaillé)'!$D$42)/2*11,0)</f>
        <v>0</v>
      </c>
      <c r="K69" s="938">
        <f>IF(Param_porcs!$G$16=11,('Porc (Effectif détaillé)'!$C$41+'Porc (Effectif détaillé)'!$D$41+'Porc (Effectif détaillé)'!$C$42+'Porc (Effectif détaillé)'!$D$42)/2*9.6,0)+IF(Param_porcs!$G$17=11,('Porc (Effectif détaillé)'!$C$41+'Porc (Effectif détaillé)'!$D$41+'Porc (Effectif détaillé)'!$C$42+'Porc (Effectif détaillé)'!$D$42)/2*9.6,0)+IF(Param_porcs!$G$18=11,('Porc (Effectif détaillé)'!$C$41+'Porc (Effectif détaillé)'!$D$41+'Porc (Effectif détaillé)'!$C$42+'Porc (Effectif détaillé)'!$D$42)/2*9.6,0)</f>
        <v>0</v>
      </c>
      <c r="L69" s="937">
        <f>IF(Param_porcs!$G$16=21,('Porc (Effectif détaillé)'!$C$41+'Porc (Effectif détaillé)'!$D$41+'Porc (Effectif détaillé)'!$C$42+'Porc (Effectif détaillé)'!$D$42)/2*20.4*(1-Param_porcs!G73/100),0)+IF(Param_porcs!$G$17=21,('Porc (Effectif détaillé)'!$C$41+'Porc (Effectif détaillé)'!$D$41+'Porc (Effectif détaillé)'!$C$42+'Porc (Effectif détaillé)'!$D$42)/2*20.4*(1-Param_porcs!G73/100),0)+IF(Param_porcs!$G$18=21,('Porc (Effectif détaillé)'!$C$41+'Porc (Effectif détaillé)'!$D$41+'Porc (Effectif détaillé)'!$C$42+'Porc (Effectif détaillé)'!$D$42)/2*20.4*(1-Param_porcs!G73/100),0)</f>
        <v>2906.9999999999995</v>
      </c>
      <c r="M69" s="937">
        <f>IF(Param_porcs!$G$16=21,('Porc (Effectif détaillé)'!$C$41+'Porc (Effectif détaillé)'!$D$41+'Porc (Effectif détaillé)'!$C$42+'Porc (Effectif détaillé)'!$D$42)/2*11,0)+IF(Param_porcs!$G$17=21,('Porc (Effectif détaillé)'!$C$41+'Porc (Effectif détaillé)'!$D$41+'Porc (Effectif détaillé)'!$C$42+'Porc (Effectif détaillé)'!$D$42)/2*11,0)+IF(Param_porcs!$G$18=21,('Porc (Effectif détaillé)'!$C$41+'Porc (Effectif détaillé)'!$D$41+'Porc (Effectif détaillé)'!$C$42+'Porc (Effectif détaillé)'!$D$42)/2*11,0)</f>
        <v>2200</v>
      </c>
      <c r="N69" s="938">
        <f>IF(Param_porcs!$G$16=21,('Porc (Effectif détaillé)'!$C$41+'Porc (Effectif détaillé)'!$D$41+'Porc (Effectif détaillé)'!$C$42+'Porc (Effectif détaillé)'!$D$42)/2*9.6,0)+IF(Param_porcs!$G$17=21,('Porc (Effectif détaillé)'!$C$41+'Porc (Effectif détaillé)'!$D$41+'Porc (Effectif détaillé)'!$C$42+'Porc (Effectif détaillé)'!$D$42)/2*9.6,0)+IF(Param_porcs!$G$18=21,('Porc (Effectif détaillé)'!$C$41+'Porc (Effectif détaillé)'!$D$41+'Porc (Effectif détaillé)'!$C$42+'Porc (Effectif détaillé)'!$D$42)/2*9.6,0)</f>
        <v>1920</v>
      </c>
      <c r="O69" s="937">
        <f>(IF(Param_porcs!$G$16=31,('Porc (Effectif détaillé)'!$C$41+'Porc (Effectif détaillé)'!$D$41+'Porc (Effectif détaillé)'!$C$42+'Porc (Effectif détaillé)'!$D$42)/2,0)+IF(Param_porcs!$G$17=31,('Porc (Effectif détaillé)'!$C$41+'Porc (Effectif détaillé)'!$D$41+'Porc (Effectif détaillé)'!$C$42+'Porc (Effectif détaillé)'!$D$42)/2,0)+IF(Param_porcs!$G$18=31,('Porc (Effectif détaillé)'!$C$41+'Porc (Effectif détaillé)'!$D$41+'Porc (Effectif détaillé)'!$C$42+'Porc (Effectif détaillé)'!$D$42)/2,0))*(20.4*(1-Param_porcs!G114/100)+3.028)</f>
        <v>0</v>
      </c>
      <c r="P69" s="937">
        <f>IF(Param_porcs!$G$16=31,('Porc (Effectif détaillé)'!$C$41+'Porc (Effectif détaillé)'!$D$41+'Porc (Effectif détaillé)'!$C$42+'Porc (Effectif détaillé)'!$D$42)/2*11.6,0)+IF(Param_porcs!$G$17=31,('Porc (Effectif détaillé)'!$C$41+'Porc (Effectif détaillé)'!$D$41+'Porc (Effectif détaillé)'!$C$42+'Porc (Effectif détaillé)'!$D$42)/2*11.6,0)+IF(Param_porcs!$G$18=31,('Porc (Effectif détaillé)'!$C$41+'Porc (Effectif détaillé)'!$D$41+'Porc (Effectif détaillé)'!$C$42+'Porc (Effectif détaillé)'!$D$42)/2*11.6,0)</f>
        <v>0</v>
      </c>
      <c r="Q69" s="938">
        <f>IF(Param_porcs!$G$16=31,('Porc (Effectif détaillé)'!$C$41+'Porc (Effectif détaillé)'!$D$41+'Porc (Effectif détaillé)'!$C$42+'Porc (Effectif détaillé)'!$D$42)/2*12.4,0)+IF(Param_porcs!$G$17=31,('Porc (Effectif détaillé)'!$C$41+'Porc (Effectif détaillé)'!$D$41+'Porc (Effectif détaillé)'!$C$42+'Porc (Effectif détaillé)'!$D$42)/2*12.4,0)+IF(Param_porcs!$G$18=31,('Porc (Effectif détaillé)'!$C$41+'Porc (Effectif détaillé)'!$D$41+'Porc (Effectif détaillé)'!$C$42+'Porc (Effectif détaillé)'!$D$42)/2*12.4,0)</f>
        <v>0</v>
      </c>
      <c r="R69" s="937">
        <f>(IF(Param_porcs!$G$16=41,('Porc (Effectif détaillé)'!$C$41+'Porc (Effectif détaillé)'!$D$41+'Porc (Effectif détaillé)'!$C$42+'Porc (Effectif détaillé)'!$D$42)/2,0)+IF(Param_porcs!$G$17=41,('Porc (Effectif détaillé)'!$C$41+'Porc (Effectif détaillé)'!$D$41+'Porc (Effectif détaillé)'!$C$42+'Porc (Effectif détaillé)'!$D$42)/2,0)+IF(Param_porcs!$G$18=41,('Porc (Effectif détaillé)'!$C$41+'Porc (Effectif détaillé)'!$D$41+'Porc (Effectif détaillé)'!$C$42+'Porc (Effectif détaillé)'!$D$42)/2,0))*(20.4*(1-Param_porcs!G155/100)+3.68)</f>
        <v>0</v>
      </c>
      <c r="S69" s="937">
        <f>IF(Param_porcs!$G$16=41,('Porc (Effectif détaillé)'!$C$41+'Porc (Effectif détaillé)'!$D$41+'Porc (Effectif détaillé)'!$C$42+'Porc (Effectif détaillé)'!$D$42)/2*11.6,0)+IF(Param_porcs!$G$17=41,('Porc (Effectif détaillé)'!$C$41+'Porc (Effectif détaillé)'!$D$41+'Porc (Effectif détaillé)'!$C$42+'Porc (Effectif détaillé)'!$D$42)/2*11.6,0)+IF(Param_porcs!$G$18=41,('Porc (Effectif détaillé)'!$C$41+'Porc (Effectif détaillé)'!$D$41+'Porc (Effectif détaillé)'!$C$42+'Porc (Effectif détaillé)'!$D$42)/2*11.6,0)</f>
        <v>0</v>
      </c>
      <c r="T69" s="938">
        <f>IF(Param_porcs!$G$16=41,('Porc (Effectif détaillé)'!$C$41+'Porc (Effectif détaillé)'!$D$41+'Porc (Effectif détaillé)'!$C$42+'Porc (Effectif détaillé)'!$D$42)/2*12.4,0)+IF(Param_porcs!$G$17=41,('Porc (Effectif détaillé)'!$C$41+'Porc (Effectif détaillé)'!$D$41+'Porc (Effectif détaillé)'!$C$42+'Porc (Effectif détaillé)'!$D$42)/2*12.4,0)+IF(Param_porcs!$G$18=41,('Porc (Effectif détaillé)'!$C$41+'Porc (Effectif détaillé)'!$D$41+'Porc (Effectif détaillé)'!$C$42+'Porc (Effectif détaillé)'!$D$42)/2*12.4,0)</f>
        <v>0</v>
      </c>
      <c r="U69" s="937"/>
      <c r="V69" s="937"/>
      <c r="W69" s="938"/>
      <c r="X69" s="937"/>
      <c r="Y69" s="937"/>
      <c r="Z69" s="938"/>
      <c r="AA69" s="906"/>
      <c r="AB69" s="906"/>
      <c r="AC69" s="906"/>
      <c r="AD69" s="906"/>
      <c r="AE69" s="904"/>
      <c r="AF69" s="904"/>
    </row>
    <row r="70" spans="1:32" s="905" customFormat="1" x14ac:dyDescent="0.25">
      <c r="A70" s="907"/>
      <c r="B70" s="906"/>
      <c r="C70" s="906"/>
      <c r="D70" s="906"/>
      <c r="E70" s="906"/>
      <c r="F70" s="906"/>
      <c r="G70" s="906"/>
      <c r="H70" s="907" t="s">
        <v>471</v>
      </c>
      <c r="I70" s="937">
        <f>IF(Param_porcs!$G$16=12,($C$51+$C$52)*3.79*(1-Param_porcs!G34/100),0)+IF(Param_porcs!$G$17=12,($C$51+$C$52)*3.79*(1-Param_porcs!G34/100),0)+IF(Param_porcs!$G$18=12,($C$51+$C$52)*3.79*(1-Param_porcs!G34/100),0)</f>
        <v>0</v>
      </c>
      <c r="J70" s="937">
        <f>IF(Param_porcs!$G$16=12,($C$51+$C$52)*1.45,0)+IF(Param_porcs!$G$17=12,($C$51+$C$52)*1.45,0)+IF(Param_porcs!$G$18=12,($C$51+$C$52)*1.45,0)</f>
        <v>0</v>
      </c>
      <c r="K70" s="937">
        <f>IF(Param_porcs!$G$16=12,($C$51+$C$52)*1.93,0)+IF(Param_porcs!$G$17=12,($C$51+$C$52)*1.93,0)+IF(Param_porcs!$G$18=12,($C$51+$C$52)*1.93,0)</f>
        <v>0</v>
      </c>
      <c r="L70" s="937">
        <f>IF(Param_porcs!$G$16=22,($C$51+$C$52)*3.79*(1-Param_porcs!G73/100),0)+IF(Param_porcs!$G$17=22,($C$51+$C$52)*3.79*(1-Param_porcs!G73/100),0)+IF(Param_porcs!$G$18=22,($C$51+$C$52)*3.79*(1-Param_porcs!G73/100),0)</f>
        <v>0</v>
      </c>
      <c r="M70" s="937">
        <f>IF(Param_porcs!$G$16=22,($C$51+$C$52)*1.45,0)+IF(Param_porcs!$G$17=22,($C$51+$C$52)*1.45,0)+IF(Param_porcs!$G$18=22,($C$51+$C$52)*1.45,0)</f>
        <v>0</v>
      </c>
      <c r="N70" s="937">
        <f>IF(Param_porcs!$G$16=22,($C$51+$C$52)*1.93,0)+IF(Param_porcs!$G$17=22,($C$51+$C$52)*1.93,0)+IF(Param_porcs!$G$18=22,($C$51+$C$52)*1.93,0)</f>
        <v>0</v>
      </c>
      <c r="O70" s="937">
        <f>(IF(Param_porcs!$G$16=32,($C$51+$C$52),0)+IF(Param_porcs!$G$17=32,($C$51+$C$52),0)+IF(Param_porcs!$G$18=32,($C$51+$C$52),0))*(3.79*(1-Param_porcs!G114/100)+0.3)</f>
        <v>0</v>
      </c>
      <c r="P70" s="937">
        <f>IF(Param_porcs!$G$16=32,($C$51+$C$52)*1.57,0)+IF(Param_porcs!$G$17=32,($C$51+$C$52)*1.57,0)+IF(Param_porcs!$G$18=32,($C$51+$C$52)*1.57,0)</f>
        <v>0</v>
      </c>
      <c r="Q70" s="937">
        <f>IF(Param_porcs!$G$16=32,($C$51+$C$52)*2.8,0)+IF(Param_porcs!$G$17=32,($C$51+$C$52)*2.8,0)+IF(Param_porcs!$G$18=32,($C$51+$C$52)*2.8,0)</f>
        <v>0</v>
      </c>
      <c r="R70" s="939">
        <f>(IF(Param_porcs!$G$16=42,($C$51+$C$52),0)+IF(Param_porcs!$G$17=42,($C$51+$C$52),0)+IF(Param_porcs!$G$18=42,($C$51+$C$52),0))*(3.79*(1-Param_porcs!G155/100)+0.213)</f>
        <v>0</v>
      </c>
      <c r="S70" s="937">
        <f>IF(Param_porcs!$G$16=42,($C$51+$C$52)*1.57,0)+IF(Param_porcs!$G$17=42,($C$51+$C$52)*1.57,0)+IF(Param_porcs!$G$18=42,($C$51+$C$52)*1.57,0)</f>
        <v>0</v>
      </c>
      <c r="T70" s="937">
        <f>IF(Param_porcs!$G$16=42,($C$51+$C$52)*2.8,0)+IF(Param_porcs!$G$17=42,($C$51+$C$52)*2.8,0)+IF(Param_porcs!$G$18=42,($C$51+$C$52)*2.8,0)</f>
        <v>0</v>
      </c>
      <c r="U70" s="939">
        <f>(IF(Param_porcs!$G$16=52,($C$51+$C$52),0)+IF(Param_porcs!$G$17=52,($C$51+$C$52),0)+IF(Param_porcs!$G$18=52,($C$51+$C$52),0))*(3.79*(1-Param_porcs!G196/100)+0.0788)</f>
        <v>5107.2000000000007</v>
      </c>
      <c r="V70" s="937">
        <f>IF(Param_porcs!$G$16=52,($C$51+$C$52)*1.45,0)+IF(Param_porcs!$G$17=52,($C$51+$C$52)*1.45,0)+IF(Param_porcs!$G$18=52,($C$51+$C$52)*1.45,0)</f>
        <v>6496</v>
      </c>
      <c r="W70" s="937">
        <f>IF(Param_porcs!$G$16=52,($C$51+$C$52)*1.95,0)+IF(Param_porcs!$G$17=52,($C$51+$C$52)*1.95,0)+IF(Param_porcs!$G$18=52,($C$51+$C$52)*1.95,0)</f>
        <v>8736</v>
      </c>
      <c r="X70" s="939">
        <f>(IF(Param_porcs!$G$16=62,($C$51+$C$52),0)+IF(Param_porcs!$G$17=62,($C$51+$C$52),0)+IF(Param_porcs!$G$18=62,($C$51+$C$52),0))*(3.79*(1-Param_porcs!G238/100)+0.065)</f>
        <v>0</v>
      </c>
      <c r="Y70" s="937">
        <f>IF(Param_porcs!$G$16=62,($C$51+$C$52)*1.45,0)+IF(Param_porcs!$G$17=62,($C$51+$C$52)*1.45,0)+IF(Param_porcs!$G$18=62,($C$51+$C$52)*1.45,0)</f>
        <v>0</v>
      </c>
      <c r="Z70" s="937">
        <f>IF(Param_porcs!$G$16=62,($C$51+$C$52)*1.95,0)+IF(Param_porcs!$G$17=62,($C$51+$C$52)*1.95,0)+IF(Param_porcs!$G$18=62,($C$51+$C$52)*1.95,0)</f>
        <v>0</v>
      </c>
      <c r="AA70" s="906"/>
      <c r="AB70" s="906"/>
      <c r="AC70" s="906"/>
      <c r="AD70" s="906"/>
      <c r="AE70" s="904"/>
      <c r="AF70" s="904"/>
    </row>
    <row r="71" spans="1:32" s="905" customFormat="1" x14ac:dyDescent="0.25">
      <c r="A71" s="907"/>
      <c r="B71" s="906"/>
      <c r="C71" s="906"/>
      <c r="D71" s="906"/>
      <c r="E71" s="906"/>
      <c r="F71" s="906"/>
      <c r="G71" s="906"/>
      <c r="H71" s="907" t="s">
        <v>634</v>
      </c>
      <c r="I71" s="937">
        <f>IF(Param_porcs!$G$16=13,($C$50+$C$52-C59)*0.56*(1-Param_porcs!G34/100),0)+IF(Param_porcs!$G$17=13,($C$50+$C$52-C59)*0.56*(1-Param_porcs!G34/100),0)+IF(Param_porcs!$G$18=13,($C$50+$C$52-C59)*0.56*(1-Param_porcs!G34/100),0)</f>
        <v>0</v>
      </c>
      <c r="J71" s="938">
        <f>IF(Param_porcs!$G$16=13,($C$50+$C$52-C59)*0.25,0)+IF(Param_porcs!$G$17=13,($C$50+$C$52-C59)*0.25,0)+IF(Param_porcs!$G$18=13,($C$50+$C$52-C59)*0.25,0)</f>
        <v>0</v>
      </c>
      <c r="K71" s="938">
        <f>IF(Param_porcs!$G$16=13,($C$50+$C$52-C59)*0.35,0)+IF(Param_porcs!$G$17=13,($C$50+$C$52-C59)*0.35,0)+IF(Param_porcs!$G$18=13,($C$50+$C$52-C59)*0.35,0)</f>
        <v>0</v>
      </c>
      <c r="L71" s="937">
        <f>IF(Param_porcs!$G$16=23,($C$50+$C$52-C59)*0.56*(1-Param_porcs!G73/100),0)+IF(Param_porcs!$G$17=23,($C$50+$C$52-C59)*0.56*(1-Param_porcs!G73/100),0)+IF(Param_porcs!$G$18=23,($C$50+$C$52-C59)*0.56*(1-Param_porcs!G73/100),0)</f>
        <v>0</v>
      </c>
      <c r="M71" s="938">
        <f>IF(Param_porcs!$G$16=23,($C$50+$C$52-C59)*0.25,0)+IF(Param_porcs!$G$17=23,($C$50+$C$52-C59)*0.25,0)+IF(Param_porcs!$G$18=23,($C$50+$C$52-C59)*0.25,0)</f>
        <v>0</v>
      </c>
      <c r="N71" s="938">
        <f>IF(Param_porcs!$G$16=23,($C$50+$C$52-C59)*0.35,0)+IF(Param_porcs!$G$17=23,($C$50+$C$52-C59)*0.35,0)+IF(Param_porcs!$G$18=23,($C$50+$C$52-C59)*0.35,0)</f>
        <v>0</v>
      </c>
      <c r="O71" s="937">
        <f>(IF(Param_porcs!$G$16=33,($C$50+$C$52-C59),0)+IF(Param_porcs!$G$17=33,($C$50+$C$52-C59),0)+IF(Param_porcs!$G$18=33,($C$50+$C$52-C59),0))*(0.56*(1-Param_porcs!G114/100)+0.0492)</f>
        <v>0</v>
      </c>
      <c r="P71" s="938">
        <f>IF(Param_porcs!$G$16=33,($C$50+$C$52-C59)*0.26,0)+IF(Param_porcs!$G$17=33,($C$50+$C$52-C59)*0.26,0)+IF(Param_porcs!$G$18=33,($C$50+$C$52-C59)*0.26,0)</f>
        <v>0</v>
      </c>
      <c r="Q71" s="938">
        <f>IF(Param_porcs!$G$16=33,($C$50+$C$52-C59)*0.48,0)+IF(Param_porcs!$G$17=33,($C$50+$C$52-C59)*0.48,0)+IF(Param_porcs!$G$18=33,($C$50+$C$52-C59)*0.48,0)</f>
        <v>0</v>
      </c>
      <c r="R71" s="939">
        <f>(IF(Param_porcs!$G$16=43,($C$50+$C$52-C59),0)+IF(Param_porcs!$G$17=43,($C$50+$C$52-C59),0)+IF(Param_porcs!$G$18=43,($C$50+$C$52-C59),0))*(0.56*(1-Param_porcs!G155/100)+0.032)</f>
        <v>921.49570207744</v>
      </c>
      <c r="S71" s="938">
        <f>IF(Param_porcs!$G$16=43,($C$50+$C$52-C59)*0.26,0)+IF(Param_porcs!$G$17=43,($C$50+$C$52-C59)*0.26,0)+IF(Param_porcs!$G$18=43,($C$50+$C$52-C59)*0.26,0)</f>
        <v>1164.8</v>
      </c>
      <c r="T71" s="938">
        <f>IF(Param_porcs!$G$16=43,($C$50+$C$52-C59)*0.48,0)+IF(Param_porcs!$G$17=43,($C$50+$C$52-C59)*0.48,0)+IF(Param_porcs!$G$18=43,($C$50+$C$52-C59)*0.48,0)</f>
        <v>2150.4</v>
      </c>
      <c r="U71" s="939">
        <f>(IF(Param_porcs!$G$16=53,($C$50+$C$52-C59),0)+IF(Param_porcs!$G$17=53,($C$50+$C$52-C59),0)+IF(Param_porcs!$G$18=53,($C$50+$C$52-C59),0))*(0.56*(1-Param_porcs!G196/100)+0.0132)</f>
        <v>0</v>
      </c>
      <c r="V71" s="938">
        <f>IF(Param_porcs!$G$16=53,($C$50+$C$52-C59)*0.25,0)+IF(Param_porcs!$G$17=53,($C$50+$C$52-C59)*0.25,0)+IF(Param_porcs!$G$18=53,($C$50+$C$52-C59)*0.25,0)</f>
        <v>0</v>
      </c>
      <c r="W71" s="938">
        <f>IF(Param_porcs!$G$16=53,($C$50+$C$52-C59)*0.35,0)+IF(Param_porcs!$G$17=53,($C$50+$C$52-C59)*0.35,0)+IF(Param_porcs!$G$18=53,($C$50+$C$52-C59)*0.35,0)</f>
        <v>0</v>
      </c>
      <c r="X71" s="939">
        <f>(IF(Param_porcs!$G$16=63,($C$50+$C$52-C59),0)+IF(Param_porcs!$G$17=63,($C$50+$C$52-C59),0)+IF(Param_porcs!$G$18=63,($C$50+$C$52-C59),0))*(0.56*(1-Param_porcs!G238/100)+0.00888)</f>
        <v>0</v>
      </c>
      <c r="Y71" s="938">
        <f>IF(Param_porcs!$G$16=63,($C$50+$C$52-C59)*0.25,0)+IF(Param_porcs!$G$17=63,($C$50+$C$52-C59)*0.25,0)+IF(Param_porcs!$G$18=63,($C$50+$C$52-C59)*0.25,0)</f>
        <v>0</v>
      </c>
      <c r="Z71" s="938">
        <f>IF(Param_porcs!$G$16=63,($C$50+$C$52-C59)*0.35,0)+IF(Param_porcs!$G$17=63,($C$50+$C$52-C59)*0.35,0)+IF(Param_porcs!$G$18=63,($C$50+$C$52-C59)*0.35,0)</f>
        <v>0</v>
      </c>
      <c r="AA71" s="906"/>
      <c r="AB71" s="906"/>
      <c r="AC71" s="906"/>
      <c r="AD71" s="906"/>
      <c r="AE71" s="904"/>
      <c r="AF71" s="904"/>
    </row>
    <row r="72" spans="1:32" s="905" customFormat="1" x14ac:dyDescent="0.25">
      <c r="A72" s="907"/>
      <c r="B72" s="907"/>
      <c r="C72" s="907"/>
      <c r="D72" s="907"/>
      <c r="E72" s="907"/>
      <c r="F72" s="907"/>
      <c r="G72" s="907"/>
      <c r="H72" s="907" t="s">
        <v>543</v>
      </c>
      <c r="I72" s="940">
        <f>I69+I70+I71</f>
        <v>0</v>
      </c>
      <c r="J72" s="941">
        <f t="shared" ref="J72" si="18">J69+J70+J71</f>
        <v>0</v>
      </c>
      <c r="K72" s="941">
        <f t="shared" ref="K72" si="19">K69+K70+K71</f>
        <v>0</v>
      </c>
      <c r="L72" s="940">
        <f t="shared" ref="L72" si="20">L69+L70+L71</f>
        <v>2906.9999999999995</v>
      </c>
      <c r="M72" s="940">
        <f t="shared" ref="M72" si="21">M69+M70+M71</f>
        <v>2200</v>
      </c>
      <c r="N72" s="940">
        <f t="shared" ref="N72" si="22">N69+N70+N71</f>
        <v>1920</v>
      </c>
      <c r="O72" s="940">
        <f t="shared" ref="O72" si="23">O69+O70+O71</f>
        <v>0</v>
      </c>
      <c r="P72" s="940">
        <f t="shared" ref="P72" si="24">P69+P70+P71</f>
        <v>0</v>
      </c>
      <c r="Q72" s="940">
        <f t="shared" ref="Q72:S72" si="25">Q69+Q70+Q71</f>
        <v>0</v>
      </c>
      <c r="R72" s="940">
        <f t="shared" si="25"/>
        <v>921.49570207744</v>
      </c>
      <c r="S72" s="940">
        <f t="shared" si="25"/>
        <v>1164.8</v>
      </c>
      <c r="T72" s="940">
        <f t="shared" ref="T72:V72" si="26">T69+T70+T71</f>
        <v>2150.4</v>
      </c>
      <c r="U72" s="940">
        <f t="shared" si="26"/>
        <v>5107.2000000000007</v>
      </c>
      <c r="V72" s="940">
        <f t="shared" si="26"/>
        <v>6496</v>
      </c>
      <c r="W72" s="940">
        <f t="shared" ref="W72:Z72" si="27">W69+W70+W71</f>
        <v>8736</v>
      </c>
      <c r="X72" s="940">
        <f t="shared" si="27"/>
        <v>0</v>
      </c>
      <c r="Y72" s="940">
        <f t="shared" si="27"/>
        <v>0</v>
      </c>
      <c r="Z72" s="940">
        <f t="shared" si="27"/>
        <v>0</v>
      </c>
      <c r="AA72" s="907"/>
      <c r="AB72" s="907"/>
      <c r="AC72" s="907"/>
      <c r="AD72" s="907"/>
    </row>
    <row r="73" spans="1:32" s="905" customFormat="1" x14ac:dyDescent="0.25">
      <c r="A73" s="907"/>
      <c r="B73" s="907"/>
      <c r="C73" s="907"/>
      <c r="D73" s="907"/>
      <c r="E73" s="907"/>
      <c r="F73" s="907"/>
      <c r="G73" s="907"/>
      <c r="H73" s="907"/>
      <c r="I73" s="907"/>
      <c r="J73" s="907"/>
      <c r="K73" s="907"/>
      <c r="L73" s="907"/>
      <c r="M73" s="907"/>
      <c r="N73" s="907"/>
      <c r="O73" s="907"/>
      <c r="P73" s="907"/>
      <c r="Q73" s="907"/>
      <c r="R73" s="907"/>
      <c r="S73" s="907"/>
      <c r="T73" s="907"/>
      <c r="U73" s="907"/>
      <c r="V73" s="907"/>
      <c r="W73" s="907"/>
      <c r="X73" s="907"/>
      <c r="Y73" s="907"/>
      <c r="Z73" s="907"/>
      <c r="AA73" s="907"/>
      <c r="AB73" s="907"/>
      <c r="AC73" s="907"/>
      <c r="AD73" s="907"/>
    </row>
    <row r="74" spans="1:32" s="905" customFormat="1" x14ac:dyDescent="0.25">
      <c r="A74" s="907"/>
      <c r="B74" s="907"/>
      <c r="C74" s="907"/>
      <c r="D74" s="907"/>
      <c r="E74" s="907"/>
      <c r="F74" s="907"/>
      <c r="G74" s="907"/>
      <c r="H74" s="907"/>
      <c r="I74" s="907"/>
      <c r="J74" s="907"/>
      <c r="K74" s="907"/>
      <c r="L74" s="907"/>
      <c r="M74" s="907"/>
      <c r="N74" s="907"/>
      <c r="O74" s="907"/>
      <c r="P74" s="907"/>
      <c r="Q74" s="907"/>
      <c r="R74" s="907"/>
      <c r="S74" s="907"/>
      <c r="T74" s="907"/>
      <c r="U74" s="907"/>
      <c r="V74" s="907"/>
      <c r="W74" s="907"/>
      <c r="X74" s="907"/>
      <c r="Y74" s="907"/>
      <c r="Z74" s="907"/>
      <c r="AA74" s="907"/>
      <c r="AB74" s="907"/>
      <c r="AC74" s="907"/>
      <c r="AD74" s="907"/>
    </row>
    <row r="75" spans="1:32" s="905" customFormat="1" x14ac:dyDescent="0.25">
      <c r="A75" s="907"/>
      <c r="B75" s="907"/>
      <c r="C75" s="907"/>
      <c r="D75" s="907"/>
      <c r="E75" s="907"/>
      <c r="F75" s="907"/>
      <c r="G75" s="907"/>
      <c r="H75" s="907"/>
      <c r="I75" s="907"/>
      <c r="J75" s="907"/>
      <c r="K75" s="907"/>
      <c r="L75" s="907"/>
      <c r="M75" s="907"/>
      <c r="N75" s="907"/>
      <c r="O75" s="907"/>
      <c r="P75" s="907"/>
      <c r="Q75" s="907"/>
      <c r="R75" s="907"/>
      <c r="S75" s="907"/>
      <c r="T75" s="907"/>
      <c r="U75" s="907"/>
      <c r="V75" s="907"/>
      <c r="W75" s="907"/>
      <c r="X75" s="907"/>
      <c r="Y75" s="907"/>
      <c r="Z75" s="907"/>
      <c r="AA75" s="907"/>
      <c r="AB75" s="907"/>
      <c r="AC75" s="907"/>
      <c r="AD75" s="907"/>
    </row>
    <row r="76" spans="1:32" s="905" customFormat="1" x14ac:dyDescent="0.25">
      <c r="A76" s="907"/>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row>
    <row r="77" spans="1:32" s="905" customFormat="1" x14ac:dyDescent="0.25">
      <c r="A77" s="907"/>
      <c r="B77" s="907"/>
      <c r="C77" s="907"/>
      <c r="D77" s="907"/>
      <c r="E77" s="907"/>
      <c r="F77" s="907"/>
      <c r="G77" s="907"/>
      <c r="H77" s="907"/>
      <c r="I77" s="907"/>
      <c r="J77" s="907"/>
      <c r="K77" s="907"/>
      <c r="L77" s="907"/>
      <c r="M77" s="907"/>
      <c r="N77" s="907"/>
      <c r="O77" s="907"/>
      <c r="P77" s="907"/>
      <c r="Q77" s="907"/>
      <c r="R77" s="907"/>
      <c r="S77" s="907"/>
      <c r="T77" s="907"/>
      <c r="U77" s="907"/>
      <c r="V77" s="907"/>
      <c r="W77" s="907"/>
      <c r="X77" s="907"/>
      <c r="Y77" s="907"/>
      <c r="Z77" s="907"/>
      <c r="AA77" s="907"/>
      <c r="AB77" s="907"/>
      <c r="AC77" s="907"/>
      <c r="AD77" s="907"/>
    </row>
    <row r="78" spans="1:32" s="905" customFormat="1" x14ac:dyDescent="0.25">
      <c r="A78" s="907"/>
      <c r="B78" s="907"/>
      <c r="C78" s="907"/>
      <c r="D78" s="907"/>
      <c r="E78" s="907"/>
      <c r="F78" s="907"/>
      <c r="G78" s="907"/>
      <c r="H78" s="907"/>
      <c r="I78" s="907"/>
      <c r="J78" s="907"/>
      <c r="K78" s="907"/>
      <c r="L78" s="907"/>
      <c r="M78" s="907"/>
      <c r="N78" s="907"/>
      <c r="O78" s="907"/>
      <c r="P78" s="907"/>
      <c r="Q78" s="907"/>
      <c r="R78" s="907"/>
      <c r="S78" s="907"/>
      <c r="T78" s="907"/>
      <c r="U78" s="907"/>
      <c r="V78" s="907"/>
      <c r="W78" s="907"/>
      <c r="X78" s="907"/>
      <c r="Y78" s="907"/>
      <c r="Z78" s="907"/>
      <c r="AA78" s="907"/>
      <c r="AB78" s="907"/>
      <c r="AC78" s="907"/>
      <c r="AD78" s="907"/>
    </row>
    <row r="79" spans="1:32" s="905" customFormat="1" x14ac:dyDescent="0.25">
      <c r="A79" s="907"/>
      <c r="B79" s="907"/>
      <c r="C79" s="907"/>
      <c r="D79" s="907"/>
      <c r="E79" s="907"/>
      <c r="F79" s="907"/>
      <c r="G79" s="907"/>
      <c r="H79" s="907"/>
      <c r="I79" s="907"/>
      <c r="J79" s="907"/>
      <c r="K79" s="907"/>
      <c r="L79" s="907"/>
      <c r="M79" s="907"/>
      <c r="N79" s="907"/>
      <c r="O79" s="907"/>
      <c r="P79" s="907"/>
      <c r="Q79" s="907"/>
      <c r="R79" s="907"/>
      <c r="S79" s="907"/>
      <c r="T79" s="907"/>
      <c r="U79" s="907"/>
      <c r="V79" s="907"/>
      <c r="W79" s="907"/>
      <c r="X79" s="907"/>
      <c r="Y79" s="907"/>
      <c r="Z79" s="907"/>
      <c r="AA79" s="907"/>
      <c r="AB79" s="907"/>
      <c r="AC79" s="907"/>
      <c r="AD79" s="907"/>
    </row>
    <row r="80" spans="1:32" s="905" customFormat="1" x14ac:dyDescent="0.25">
      <c r="A80" s="907"/>
      <c r="B80" s="907"/>
      <c r="C80" s="907"/>
      <c r="D80" s="907"/>
      <c r="E80" s="907"/>
      <c r="F80" s="907"/>
      <c r="G80" s="907"/>
      <c r="H80" s="907"/>
      <c r="I80" s="907"/>
      <c r="J80" s="907"/>
      <c r="K80" s="907"/>
      <c r="L80" s="907"/>
      <c r="M80" s="907"/>
      <c r="N80" s="907"/>
      <c r="O80" s="907"/>
      <c r="P80" s="907"/>
      <c r="Q80" s="907"/>
      <c r="R80" s="907"/>
      <c r="S80" s="907"/>
      <c r="T80" s="907"/>
      <c r="U80" s="907"/>
      <c r="V80" s="907"/>
      <c r="W80" s="907"/>
      <c r="X80" s="907"/>
      <c r="Y80" s="907"/>
      <c r="Z80" s="907"/>
      <c r="AA80" s="907"/>
      <c r="AB80" s="907"/>
      <c r="AC80" s="907"/>
      <c r="AD80" s="907"/>
    </row>
    <row r="81" spans="1:30" s="905" customFormat="1" x14ac:dyDescent="0.25">
      <c r="A81" s="907"/>
      <c r="B81" s="907"/>
      <c r="C81" s="907"/>
      <c r="D81" s="907"/>
      <c r="E81" s="907"/>
      <c r="F81" s="907"/>
      <c r="G81" s="907"/>
      <c r="H81" s="907"/>
      <c r="I81" s="907"/>
      <c r="J81" s="907"/>
      <c r="K81" s="907"/>
      <c r="L81" s="907"/>
      <c r="M81" s="907"/>
      <c r="N81" s="907"/>
      <c r="O81" s="907"/>
      <c r="P81" s="907"/>
      <c r="Q81" s="907"/>
      <c r="R81" s="907"/>
      <c r="S81" s="907"/>
      <c r="T81" s="907"/>
      <c r="U81" s="907"/>
      <c r="V81" s="907"/>
      <c r="W81" s="907"/>
      <c r="X81" s="907"/>
      <c r="Y81" s="907"/>
      <c r="Z81" s="907"/>
      <c r="AA81" s="907"/>
      <c r="AB81" s="907"/>
      <c r="AC81" s="907"/>
      <c r="AD81" s="907"/>
    </row>
    <row r="82" spans="1:30" s="905" customFormat="1" x14ac:dyDescent="0.25">
      <c r="A82" s="907"/>
      <c r="B82" s="907"/>
      <c r="C82" s="907"/>
      <c r="D82" s="907"/>
      <c r="E82" s="907"/>
      <c r="F82" s="907"/>
      <c r="G82" s="907"/>
      <c r="H82" s="907"/>
      <c r="I82" s="907"/>
      <c r="J82" s="907"/>
      <c r="K82" s="907"/>
      <c r="L82" s="907"/>
      <c r="M82" s="907"/>
      <c r="N82" s="907"/>
      <c r="O82" s="907"/>
      <c r="P82" s="907"/>
      <c r="Q82" s="907"/>
      <c r="R82" s="907"/>
      <c r="S82" s="907"/>
      <c r="T82" s="907"/>
      <c r="U82" s="907"/>
      <c r="V82" s="907"/>
      <c r="W82" s="907"/>
      <c r="X82" s="907"/>
      <c r="Y82" s="907"/>
      <c r="Z82" s="907"/>
      <c r="AA82" s="907"/>
      <c r="AB82" s="907"/>
      <c r="AC82" s="907"/>
      <c r="AD82" s="907"/>
    </row>
    <row r="83" spans="1:30" s="905" customFormat="1" x14ac:dyDescent="0.25">
      <c r="A83" s="907"/>
      <c r="B83" s="907"/>
      <c r="C83" s="907"/>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row>
    <row r="84" spans="1:30" s="905" customFormat="1" x14ac:dyDescent="0.25">
      <c r="A84" s="907"/>
      <c r="B84" s="907"/>
      <c r="C84" s="907"/>
      <c r="D84" s="907"/>
      <c r="E84" s="907"/>
      <c r="F84" s="907"/>
      <c r="G84" s="907"/>
      <c r="H84" s="907"/>
      <c r="I84" s="907"/>
      <c r="J84" s="907"/>
      <c r="K84" s="907"/>
      <c r="L84" s="907"/>
      <c r="M84" s="907"/>
      <c r="N84" s="907"/>
      <c r="O84" s="907"/>
      <c r="P84" s="907"/>
      <c r="Q84" s="907"/>
      <c r="R84" s="907"/>
      <c r="S84" s="907"/>
      <c r="T84" s="907"/>
      <c r="U84" s="907"/>
      <c r="V84" s="907"/>
      <c r="W84" s="907"/>
      <c r="X84" s="907"/>
      <c r="Y84" s="907"/>
      <c r="Z84" s="907"/>
      <c r="AA84" s="907"/>
      <c r="AB84" s="907"/>
      <c r="AC84" s="907"/>
      <c r="AD84" s="907"/>
    </row>
    <row r="85" spans="1:30" s="905" customFormat="1" x14ac:dyDescent="0.25">
      <c r="A85" s="907"/>
      <c r="B85" s="907"/>
      <c r="C85" s="907"/>
      <c r="D85" s="907"/>
      <c r="E85" s="907"/>
      <c r="F85" s="907"/>
      <c r="G85" s="907"/>
      <c r="H85" s="907"/>
      <c r="I85" s="907"/>
      <c r="J85" s="907"/>
      <c r="K85" s="907"/>
      <c r="L85" s="907"/>
      <c r="M85" s="907"/>
      <c r="N85" s="907"/>
      <c r="O85" s="907"/>
      <c r="P85" s="907"/>
      <c r="Q85" s="907"/>
      <c r="R85" s="907"/>
      <c r="S85" s="907"/>
      <c r="T85" s="907"/>
      <c r="U85" s="907"/>
      <c r="V85" s="907"/>
      <c r="W85" s="907"/>
      <c r="X85" s="907"/>
      <c r="Y85" s="907"/>
      <c r="Z85" s="907"/>
      <c r="AA85" s="907"/>
      <c r="AB85" s="907"/>
      <c r="AC85" s="907"/>
      <c r="AD85" s="907"/>
    </row>
    <row r="86" spans="1:30" s="905" customFormat="1" x14ac:dyDescent="0.25">
      <c r="A86" s="907"/>
      <c r="B86" s="907"/>
      <c r="C86" s="907"/>
      <c r="D86" s="907"/>
      <c r="E86" s="907"/>
      <c r="F86" s="907"/>
      <c r="G86" s="907"/>
      <c r="H86" s="907"/>
      <c r="I86" s="907"/>
      <c r="J86" s="907"/>
      <c r="K86" s="907"/>
      <c r="L86" s="907"/>
      <c r="M86" s="907"/>
      <c r="N86" s="907"/>
      <c r="O86" s="907"/>
      <c r="P86" s="907"/>
      <c r="Q86" s="907"/>
      <c r="R86" s="907"/>
      <c r="S86" s="907"/>
      <c r="T86" s="907"/>
      <c r="U86" s="907"/>
      <c r="V86" s="907"/>
      <c r="W86" s="907"/>
      <c r="X86" s="907"/>
      <c r="Y86" s="907"/>
      <c r="Z86" s="907"/>
      <c r="AA86" s="907"/>
      <c r="AB86" s="907"/>
      <c r="AC86" s="907"/>
      <c r="AD86" s="907"/>
    </row>
    <row r="87" spans="1:30" s="905" customFormat="1" x14ac:dyDescent="0.25">
      <c r="A87" s="907"/>
      <c r="B87" s="907"/>
      <c r="C87" s="907"/>
      <c r="D87" s="907"/>
      <c r="E87" s="907"/>
      <c r="F87" s="907"/>
      <c r="G87" s="907"/>
      <c r="H87" s="907"/>
      <c r="I87" s="907"/>
      <c r="J87" s="907"/>
      <c r="K87" s="907"/>
      <c r="L87" s="907"/>
      <c r="M87" s="907"/>
      <c r="N87" s="907"/>
      <c r="O87" s="907"/>
      <c r="P87" s="907"/>
      <c r="Q87" s="907"/>
      <c r="R87" s="907"/>
      <c r="S87" s="907"/>
      <c r="T87" s="907"/>
      <c r="U87" s="907"/>
      <c r="V87" s="907"/>
      <c r="W87" s="907"/>
      <c r="X87" s="907"/>
      <c r="Y87" s="907"/>
      <c r="Z87" s="907"/>
      <c r="AA87" s="907"/>
      <c r="AB87" s="907"/>
      <c r="AC87" s="907"/>
      <c r="AD87" s="907"/>
    </row>
    <row r="88" spans="1:30" s="905" customFormat="1" x14ac:dyDescent="0.25">
      <c r="A88" s="907"/>
      <c r="B88" s="907"/>
      <c r="C88" s="907"/>
      <c r="D88" s="907"/>
      <c r="E88" s="907"/>
      <c r="F88" s="907"/>
      <c r="G88" s="907"/>
      <c r="H88" s="907"/>
      <c r="I88" s="907"/>
      <c r="J88" s="907"/>
      <c r="K88" s="907"/>
      <c r="L88" s="907"/>
      <c r="M88" s="907"/>
      <c r="N88" s="907"/>
      <c r="O88" s="907"/>
      <c r="P88" s="907"/>
      <c r="Q88" s="907"/>
      <c r="R88" s="907"/>
      <c r="S88" s="907"/>
      <c r="T88" s="907"/>
      <c r="U88" s="907"/>
      <c r="V88" s="907"/>
      <c r="W88" s="907"/>
      <c r="X88" s="907"/>
      <c r="Y88" s="907"/>
      <c r="Z88" s="907"/>
      <c r="AA88" s="907"/>
      <c r="AB88" s="907"/>
      <c r="AC88" s="907"/>
      <c r="AD88" s="907"/>
    </row>
    <row r="89" spans="1:30" s="905" customFormat="1" x14ac:dyDescent="0.25">
      <c r="A89" s="907"/>
      <c r="B89" s="907"/>
      <c r="C89" s="907"/>
      <c r="D89" s="907"/>
      <c r="E89" s="907"/>
      <c r="F89" s="907"/>
      <c r="G89" s="907"/>
      <c r="H89" s="907"/>
      <c r="I89" s="907"/>
      <c r="J89" s="907"/>
      <c r="K89" s="907"/>
      <c r="L89" s="907"/>
      <c r="M89" s="907"/>
      <c r="N89" s="907"/>
      <c r="O89" s="907"/>
      <c r="P89" s="907"/>
      <c r="Q89" s="907"/>
      <c r="R89" s="907"/>
      <c r="S89" s="907"/>
      <c r="T89" s="907"/>
      <c r="U89" s="907"/>
      <c r="V89" s="907"/>
      <c r="W89" s="907"/>
      <c r="X89" s="907"/>
      <c r="Y89" s="907"/>
      <c r="Z89" s="907"/>
      <c r="AA89" s="907"/>
      <c r="AB89" s="907"/>
      <c r="AC89" s="907"/>
      <c r="AD89" s="907"/>
    </row>
    <row r="90" spans="1:30" s="905" customFormat="1" x14ac:dyDescent="0.25">
      <c r="A90" s="907"/>
      <c r="B90" s="907"/>
      <c r="C90" s="907"/>
      <c r="D90" s="907"/>
      <c r="E90" s="907"/>
      <c r="F90" s="907"/>
      <c r="G90" s="907"/>
      <c r="H90" s="907"/>
      <c r="I90" s="907"/>
      <c r="J90" s="907"/>
      <c r="K90" s="907"/>
      <c r="L90" s="907"/>
      <c r="M90" s="907"/>
      <c r="N90" s="907"/>
      <c r="O90" s="907"/>
      <c r="P90" s="907"/>
      <c r="Q90" s="907"/>
      <c r="R90" s="907"/>
      <c r="S90" s="907"/>
      <c r="T90" s="907"/>
      <c r="U90" s="907"/>
      <c r="V90" s="907"/>
      <c r="W90" s="907"/>
      <c r="X90" s="907"/>
      <c r="Y90" s="907"/>
      <c r="Z90" s="907"/>
      <c r="AA90" s="907"/>
      <c r="AB90" s="907"/>
      <c r="AC90" s="907"/>
      <c r="AD90" s="907"/>
    </row>
    <row r="91" spans="1:30" s="905" customFormat="1" x14ac:dyDescent="0.25">
      <c r="A91" s="907"/>
      <c r="B91" s="907"/>
      <c r="C91" s="907"/>
      <c r="D91" s="907"/>
      <c r="E91" s="907"/>
      <c r="F91" s="907"/>
      <c r="G91" s="907"/>
      <c r="H91" s="907"/>
      <c r="I91" s="907"/>
      <c r="J91" s="907"/>
      <c r="K91" s="907"/>
      <c r="L91" s="907"/>
      <c r="M91" s="907"/>
      <c r="N91" s="907"/>
      <c r="O91" s="907"/>
      <c r="P91" s="907"/>
      <c r="Q91" s="907"/>
      <c r="R91" s="907"/>
      <c r="S91" s="907"/>
      <c r="T91" s="907"/>
      <c r="U91" s="907"/>
      <c r="V91" s="907"/>
      <c r="W91" s="907"/>
      <c r="X91" s="907"/>
      <c r="Y91" s="907"/>
      <c r="Z91" s="907"/>
      <c r="AA91" s="907"/>
      <c r="AB91" s="907"/>
      <c r="AC91" s="907"/>
      <c r="AD91" s="907"/>
    </row>
    <row r="92" spans="1:30" s="905" customFormat="1" x14ac:dyDescent="0.25">
      <c r="A92" s="907"/>
      <c r="B92" s="907"/>
      <c r="C92" s="907"/>
      <c r="D92" s="907"/>
      <c r="E92" s="907"/>
      <c r="F92" s="907"/>
      <c r="G92" s="907"/>
      <c r="H92" s="907"/>
      <c r="I92" s="907"/>
      <c r="J92" s="907"/>
      <c r="K92" s="907"/>
      <c r="L92" s="907"/>
      <c r="M92" s="907"/>
      <c r="N92" s="907"/>
      <c r="O92" s="907"/>
      <c r="P92" s="907"/>
      <c r="Q92" s="907"/>
      <c r="R92" s="907"/>
      <c r="S92" s="907"/>
      <c r="T92" s="907"/>
      <c r="U92" s="907"/>
      <c r="V92" s="907"/>
      <c r="W92" s="907"/>
      <c r="X92" s="907"/>
      <c r="Y92" s="907"/>
      <c r="Z92" s="907"/>
      <c r="AA92" s="907"/>
      <c r="AB92" s="907"/>
      <c r="AC92" s="907"/>
      <c r="AD92" s="907"/>
    </row>
    <row r="93" spans="1:30" s="905" customFormat="1" x14ac:dyDescent="0.25">
      <c r="A93" s="907"/>
      <c r="B93" s="907"/>
      <c r="C93" s="907"/>
      <c r="D93" s="907"/>
      <c r="E93" s="907"/>
      <c r="F93" s="907"/>
      <c r="G93" s="907"/>
      <c r="H93" s="907"/>
      <c r="I93" s="907"/>
      <c r="J93" s="907"/>
      <c r="K93" s="907"/>
      <c r="L93" s="907"/>
      <c r="M93" s="907"/>
      <c r="N93" s="907"/>
      <c r="O93" s="907"/>
      <c r="P93" s="907"/>
      <c r="Q93" s="907"/>
      <c r="R93" s="907"/>
      <c r="S93" s="907"/>
      <c r="T93" s="907"/>
      <c r="U93" s="907"/>
      <c r="V93" s="907"/>
      <c r="W93" s="907"/>
      <c r="X93" s="907"/>
      <c r="Y93" s="907"/>
      <c r="Z93" s="907"/>
      <c r="AA93" s="907"/>
      <c r="AB93" s="907"/>
      <c r="AC93" s="907"/>
      <c r="AD93" s="907"/>
    </row>
    <row r="94" spans="1:30" s="905" customFormat="1" x14ac:dyDescent="0.25">
      <c r="A94" s="907"/>
      <c r="B94" s="907"/>
      <c r="C94" s="907"/>
      <c r="D94" s="907"/>
      <c r="E94" s="907"/>
      <c r="F94" s="907"/>
      <c r="G94" s="907"/>
      <c r="H94" s="907"/>
      <c r="I94" s="907"/>
      <c r="J94" s="907"/>
      <c r="K94" s="907"/>
      <c r="L94" s="907"/>
      <c r="M94" s="907"/>
      <c r="N94" s="907"/>
      <c r="O94" s="907"/>
      <c r="P94" s="907"/>
      <c r="Q94" s="907"/>
      <c r="R94" s="907"/>
      <c r="S94" s="907"/>
      <c r="T94" s="907"/>
      <c r="U94" s="907"/>
      <c r="V94" s="907"/>
      <c r="W94" s="907"/>
      <c r="X94" s="907"/>
      <c r="Y94" s="907"/>
      <c r="Z94" s="907"/>
      <c r="AA94" s="907"/>
      <c r="AB94" s="907"/>
      <c r="AC94" s="907"/>
      <c r="AD94" s="907"/>
    </row>
    <row r="95" spans="1:30" s="905" customFormat="1" x14ac:dyDescent="0.25">
      <c r="A95" s="907"/>
      <c r="B95" s="907"/>
      <c r="C95" s="907"/>
      <c r="D95" s="907"/>
      <c r="E95" s="907"/>
      <c r="F95" s="907"/>
      <c r="G95" s="907"/>
      <c r="H95" s="907"/>
      <c r="I95" s="907"/>
      <c r="J95" s="907"/>
      <c r="K95" s="907"/>
      <c r="L95" s="907"/>
      <c r="M95" s="907"/>
      <c r="N95" s="907"/>
      <c r="O95" s="907"/>
      <c r="P95" s="907"/>
      <c r="Q95" s="907"/>
      <c r="R95" s="907"/>
      <c r="S95" s="907"/>
      <c r="T95" s="907"/>
      <c r="U95" s="907"/>
      <c r="V95" s="907"/>
      <c r="W95" s="907"/>
      <c r="X95" s="907"/>
      <c r="Y95" s="907"/>
      <c r="Z95" s="907"/>
      <c r="AA95" s="907"/>
      <c r="AB95" s="907"/>
      <c r="AC95" s="907"/>
      <c r="AD95" s="907"/>
    </row>
    <row r="96" spans="1:30" s="905" customFormat="1" x14ac:dyDescent="0.25">
      <c r="A96" s="907"/>
      <c r="B96" s="907"/>
      <c r="C96" s="907"/>
      <c r="D96" s="907"/>
      <c r="E96" s="907"/>
      <c r="F96" s="907"/>
      <c r="G96" s="907"/>
      <c r="H96" s="907"/>
      <c r="I96" s="907"/>
      <c r="J96" s="907"/>
      <c r="K96" s="907"/>
      <c r="L96" s="907"/>
      <c r="M96" s="907"/>
      <c r="N96" s="907"/>
      <c r="O96" s="907"/>
      <c r="P96" s="907"/>
      <c r="Q96" s="907"/>
      <c r="R96" s="907"/>
      <c r="S96" s="907"/>
      <c r="T96" s="907"/>
      <c r="U96" s="907"/>
      <c r="V96" s="907"/>
      <c r="W96" s="907"/>
      <c r="X96" s="907"/>
      <c r="Y96" s="907"/>
      <c r="Z96" s="907"/>
      <c r="AA96" s="907"/>
      <c r="AB96" s="907"/>
      <c r="AC96" s="907"/>
      <c r="AD96" s="907"/>
    </row>
    <row r="97" spans="1:30" s="905" customFormat="1" x14ac:dyDescent="0.25">
      <c r="A97" s="907"/>
      <c r="B97" s="907"/>
      <c r="C97" s="907"/>
      <c r="D97" s="907"/>
      <c r="E97" s="907"/>
      <c r="F97" s="907"/>
      <c r="G97" s="907"/>
      <c r="H97" s="907"/>
      <c r="I97" s="907"/>
      <c r="J97" s="907"/>
      <c r="K97" s="907"/>
      <c r="L97" s="907"/>
      <c r="M97" s="907"/>
      <c r="N97" s="907"/>
      <c r="O97" s="907"/>
      <c r="P97" s="907"/>
      <c r="Q97" s="907"/>
      <c r="R97" s="907"/>
      <c r="S97" s="907"/>
      <c r="T97" s="907"/>
      <c r="U97" s="907"/>
      <c r="V97" s="907"/>
      <c r="W97" s="907"/>
      <c r="X97" s="907"/>
      <c r="Y97" s="907"/>
      <c r="Z97" s="907"/>
      <c r="AA97" s="907"/>
      <c r="AB97" s="907"/>
      <c r="AC97" s="907"/>
      <c r="AD97" s="907"/>
    </row>
    <row r="98" spans="1:30" s="905" customFormat="1" x14ac:dyDescent="0.25">
      <c r="A98" s="907"/>
      <c r="B98" s="907"/>
      <c r="C98" s="907"/>
      <c r="D98" s="907"/>
      <c r="E98" s="907"/>
      <c r="F98" s="907"/>
      <c r="G98" s="907"/>
      <c r="H98" s="907"/>
      <c r="I98" s="907"/>
      <c r="J98" s="907"/>
      <c r="K98" s="907"/>
      <c r="L98" s="907"/>
      <c r="M98" s="907"/>
      <c r="N98" s="907"/>
      <c r="O98" s="907"/>
      <c r="P98" s="907"/>
      <c r="Q98" s="907"/>
      <c r="R98" s="907"/>
      <c r="S98" s="907"/>
      <c r="T98" s="907"/>
      <c r="U98" s="907"/>
      <c r="V98" s="907"/>
      <c r="W98" s="907"/>
      <c r="X98" s="907"/>
      <c r="Y98" s="907"/>
      <c r="Z98" s="907"/>
      <c r="AA98" s="907"/>
      <c r="AB98" s="907"/>
      <c r="AC98" s="907"/>
      <c r="AD98" s="907"/>
    </row>
    <row r="99" spans="1:30" s="905" customFormat="1" x14ac:dyDescent="0.25">
      <c r="A99" s="907"/>
      <c r="B99" s="907"/>
      <c r="C99" s="907"/>
      <c r="D99" s="907"/>
      <c r="E99" s="907"/>
      <c r="F99" s="907"/>
      <c r="G99" s="907"/>
      <c r="H99" s="907"/>
      <c r="I99" s="907"/>
      <c r="J99" s="907"/>
      <c r="K99" s="907"/>
      <c r="L99" s="907"/>
      <c r="M99" s="907"/>
      <c r="N99" s="907"/>
      <c r="O99" s="907"/>
      <c r="P99" s="907"/>
      <c r="Q99" s="907"/>
      <c r="R99" s="907"/>
      <c r="S99" s="907"/>
      <c r="T99" s="907"/>
      <c r="U99" s="907"/>
      <c r="V99" s="907"/>
      <c r="W99" s="907"/>
      <c r="X99" s="907"/>
      <c r="Y99" s="907"/>
      <c r="Z99" s="907"/>
      <c r="AA99" s="907"/>
      <c r="AB99" s="907"/>
      <c r="AC99" s="907"/>
      <c r="AD99" s="907"/>
    </row>
    <row r="100" spans="1:30" s="905" customFormat="1" x14ac:dyDescent="0.25">
      <c r="A100" s="907"/>
      <c r="B100" s="907"/>
      <c r="C100" s="907"/>
      <c r="D100" s="907"/>
      <c r="E100" s="907"/>
      <c r="F100" s="907"/>
      <c r="G100" s="907"/>
      <c r="H100" s="907"/>
      <c r="I100" s="907"/>
      <c r="J100" s="907"/>
      <c r="K100" s="907"/>
      <c r="L100" s="907"/>
      <c r="M100" s="907"/>
      <c r="N100" s="907"/>
      <c r="O100" s="907"/>
      <c r="P100" s="907"/>
      <c r="Q100" s="907"/>
      <c r="R100" s="907"/>
      <c r="S100" s="907"/>
      <c r="T100" s="907"/>
      <c r="U100" s="907"/>
      <c r="V100" s="907"/>
      <c r="W100" s="907"/>
      <c r="X100" s="907"/>
      <c r="Y100" s="907"/>
      <c r="Z100" s="907"/>
      <c r="AA100" s="907"/>
      <c r="AB100" s="907"/>
      <c r="AC100" s="907"/>
      <c r="AD100" s="907"/>
    </row>
    <row r="101" spans="1:30" s="905" customFormat="1" x14ac:dyDescent="0.25">
      <c r="A101" s="907"/>
      <c r="B101" s="907"/>
      <c r="C101" s="907"/>
      <c r="D101" s="907"/>
      <c r="E101" s="907"/>
      <c r="F101" s="907"/>
      <c r="G101" s="907"/>
      <c r="H101" s="907"/>
      <c r="I101" s="907"/>
      <c r="J101" s="907"/>
      <c r="K101" s="907"/>
      <c r="L101" s="907"/>
      <c r="M101" s="907"/>
      <c r="N101" s="907"/>
      <c r="O101" s="907"/>
      <c r="P101" s="907"/>
      <c r="Q101" s="907"/>
      <c r="R101" s="907"/>
      <c r="S101" s="907"/>
      <c r="T101" s="907"/>
      <c r="U101" s="907"/>
      <c r="V101" s="907"/>
      <c r="W101" s="907"/>
      <c r="X101" s="907"/>
      <c r="Y101" s="907"/>
      <c r="Z101" s="907"/>
      <c r="AA101" s="907"/>
      <c r="AB101" s="907"/>
      <c r="AC101" s="907"/>
      <c r="AD101" s="907"/>
    </row>
    <row r="102" spans="1:30" s="905" customFormat="1" x14ac:dyDescent="0.25">
      <c r="A102" s="907"/>
      <c r="B102" s="907"/>
      <c r="C102" s="907"/>
      <c r="D102" s="907"/>
      <c r="E102" s="907"/>
      <c r="F102" s="907"/>
      <c r="G102" s="907"/>
      <c r="H102" s="907"/>
      <c r="I102" s="907"/>
      <c r="J102" s="907"/>
      <c r="K102" s="907"/>
      <c r="L102" s="907"/>
      <c r="M102" s="907"/>
      <c r="N102" s="907"/>
      <c r="O102" s="907"/>
      <c r="P102" s="907"/>
      <c r="Q102" s="907"/>
      <c r="R102" s="907"/>
      <c r="S102" s="907"/>
      <c r="T102" s="907"/>
      <c r="U102" s="907"/>
      <c r="V102" s="907"/>
      <c r="W102" s="907"/>
      <c r="X102" s="907"/>
      <c r="Y102" s="907"/>
      <c r="Z102" s="907"/>
      <c r="AA102" s="907"/>
      <c r="AB102" s="907"/>
      <c r="AC102" s="907"/>
      <c r="AD102" s="907"/>
    </row>
    <row r="103" spans="1:30" s="905" customFormat="1" x14ac:dyDescent="0.25">
      <c r="A103" s="907"/>
      <c r="B103" s="907"/>
      <c r="C103" s="907"/>
      <c r="D103" s="907"/>
      <c r="E103" s="907"/>
      <c r="F103" s="907"/>
      <c r="G103" s="907"/>
      <c r="H103" s="907"/>
      <c r="I103" s="907"/>
      <c r="J103" s="907"/>
      <c r="K103" s="907"/>
      <c r="L103" s="907"/>
      <c r="M103" s="907"/>
      <c r="N103" s="907"/>
      <c r="O103" s="907"/>
      <c r="P103" s="907"/>
      <c r="Q103" s="907"/>
      <c r="R103" s="907"/>
      <c r="S103" s="907"/>
      <c r="T103" s="907"/>
      <c r="U103" s="907"/>
      <c r="V103" s="907"/>
      <c r="W103" s="907"/>
      <c r="X103" s="907"/>
      <c r="Y103" s="907"/>
      <c r="Z103" s="907"/>
      <c r="AA103" s="907"/>
      <c r="AB103" s="907"/>
      <c r="AC103" s="907"/>
      <c r="AD103" s="907"/>
    </row>
    <row r="104" spans="1:30" s="905" customFormat="1" x14ac:dyDescent="0.25">
      <c r="A104" s="907"/>
      <c r="B104" s="907"/>
      <c r="C104" s="907"/>
      <c r="D104" s="907"/>
      <c r="E104" s="907"/>
      <c r="F104" s="907"/>
      <c r="G104" s="907"/>
      <c r="H104" s="907"/>
      <c r="I104" s="907"/>
      <c r="J104" s="907"/>
      <c r="K104" s="907"/>
      <c r="L104" s="907"/>
      <c r="M104" s="907"/>
      <c r="N104" s="907"/>
      <c r="O104" s="907"/>
      <c r="P104" s="907"/>
      <c r="Q104" s="907"/>
      <c r="R104" s="907"/>
      <c r="S104" s="907"/>
      <c r="T104" s="907"/>
      <c r="U104" s="907"/>
      <c r="V104" s="907"/>
      <c r="W104" s="907"/>
      <c r="X104" s="907"/>
      <c r="Y104" s="907"/>
      <c r="Z104" s="907"/>
      <c r="AA104" s="907"/>
      <c r="AB104" s="907"/>
      <c r="AC104" s="907"/>
      <c r="AD104" s="907"/>
    </row>
    <row r="105" spans="1:30" s="905" customFormat="1" x14ac:dyDescent="0.25">
      <c r="A105" s="907"/>
      <c r="B105" s="907"/>
      <c r="C105" s="907"/>
      <c r="D105" s="907"/>
      <c r="E105" s="907"/>
      <c r="F105" s="907"/>
      <c r="G105" s="907"/>
      <c r="H105" s="907"/>
      <c r="I105" s="907"/>
      <c r="J105" s="907"/>
      <c r="K105" s="907"/>
      <c r="L105" s="907"/>
      <c r="M105" s="907"/>
      <c r="N105" s="907"/>
      <c r="O105" s="907"/>
      <c r="P105" s="907"/>
      <c r="Q105" s="907"/>
      <c r="R105" s="907"/>
      <c r="S105" s="907"/>
      <c r="T105" s="907"/>
      <c r="U105" s="907"/>
      <c r="V105" s="907"/>
      <c r="W105" s="907"/>
      <c r="X105" s="907"/>
      <c r="Y105" s="907"/>
      <c r="Z105" s="907"/>
      <c r="AA105" s="907"/>
      <c r="AB105" s="907"/>
      <c r="AC105" s="907"/>
      <c r="AD105" s="907"/>
    </row>
    <row r="106" spans="1:30" s="905" customFormat="1" x14ac:dyDescent="0.25">
      <c r="A106" s="907"/>
      <c r="B106" s="907"/>
      <c r="C106" s="907"/>
      <c r="D106" s="907"/>
      <c r="E106" s="907"/>
      <c r="F106" s="907"/>
      <c r="G106" s="907"/>
      <c r="H106" s="907"/>
      <c r="I106" s="907"/>
      <c r="J106" s="907"/>
      <c r="K106" s="907"/>
      <c r="L106" s="907"/>
      <c r="M106" s="907"/>
      <c r="N106" s="907"/>
      <c r="O106" s="907"/>
      <c r="P106" s="907"/>
      <c r="Q106" s="907"/>
      <c r="R106" s="907"/>
      <c r="S106" s="907"/>
      <c r="T106" s="907"/>
      <c r="U106" s="907"/>
      <c r="V106" s="907"/>
      <c r="W106" s="907"/>
      <c r="X106" s="907"/>
      <c r="Y106" s="907"/>
      <c r="Z106" s="907"/>
      <c r="AA106" s="907"/>
      <c r="AB106" s="907"/>
      <c r="AC106" s="907"/>
      <c r="AD106" s="907"/>
    </row>
    <row r="107" spans="1:30" s="905" customFormat="1" x14ac:dyDescent="0.25">
      <c r="A107" s="907"/>
      <c r="B107" s="907"/>
      <c r="C107" s="907"/>
      <c r="D107" s="907"/>
      <c r="E107" s="907"/>
      <c r="F107" s="907"/>
      <c r="G107" s="907"/>
      <c r="H107" s="907"/>
      <c r="I107" s="907"/>
      <c r="J107" s="907"/>
      <c r="K107" s="907"/>
      <c r="L107" s="907"/>
      <c r="M107" s="907"/>
      <c r="N107" s="907"/>
      <c r="O107" s="907"/>
      <c r="P107" s="907"/>
      <c r="Q107" s="907"/>
      <c r="R107" s="907"/>
      <c r="S107" s="907"/>
      <c r="T107" s="907"/>
      <c r="U107" s="907"/>
      <c r="V107" s="907"/>
      <c r="W107" s="907"/>
      <c r="X107" s="907"/>
      <c r="Y107" s="907"/>
      <c r="Z107" s="907"/>
      <c r="AA107" s="907"/>
      <c r="AB107" s="907"/>
      <c r="AC107" s="907"/>
      <c r="AD107" s="907"/>
    </row>
    <row r="108" spans="1:30" s="905" customFormat="1" x14ac:dyDescent="0.25">
      <c r="A108" s="907"/>
      <c r="B108" s="907"/>
      <c r="C108" s="907"/>
      <c r="D108" s="907"/>
      <c r="E108" s="907"/>
      <c r="F108" s="907"/>
      <c r="G108" s="907"/>
      <c r="H108" s="907"/>
      <c r="I108" s="907"/>
      <c r="J108" s="907"/>
      <c r="K108" s="907"/>
      <c r="L108" s="907"/>
      <c r="M108" s="907"/>
      <c r="N108" s="907"/>
      <c r="O108" s="907"/>
      <c r="P108" s="907"/>
      <c r="Q108" s="907"/>
      <c r="R108" s="907"/>
      <c r="S108" s="907"/>
      <c r="T108" s="907"/>
      <c r="U108" s="907"/>
      <c r="V108" s="907"/>
      <c r="W108" s="907"/>
      <c r="X108" s="907"/>
      <c r="Y108" s="907"/>
      <c r="Z108" s="907"/>
      <c r="AA108" s="907"/>
      <c r="AB108" s="907"/>
      <c r="AC108" s="907"/>
      <c r="AD108" s="907"/>
    </row>
    <row r="109" spans="1:30" s="905" customFormat="1" x14ac:dyDescent="0.25">
      <c r="A109" s="907"/>
      <c r="B109" s="907"/>
      <c r="C109" s="907"/>
      <c r="D109" s="907"/>
      <c r="E109" s="907"/>
      <c r="F109" s="907"/>
      <c r="G109" s="907"/>
      <c r="H109" s="907"/>
      <c r="I109" s="907"/>
      <c r="J109" s="907"/>
      <c r="K109" s="907"/>
      <c r="L109" s="907"/>
      <c r="M109" s="907"/>
      <c r="N109" s="907"/>
      <c r="O109" s="907"/>
      <c r="P109" s="907"/>
      <c r="Q109" s="907"/>
      <c r="R109" s="907"/>
      <c r="S109" s="907"/>
      <c r="T109" s="907"/>
      <c r="U109" s="907"/>
      <c r="V109" s="907"/>
      <c r="W109" s="907"/>
      <c r="X109" s="907"/>
      <c r="Y109" s="907"/>
      <c r="Z109" s="907"/>
      <c r="AA109" s="907"/>
      <c r="AB109" s="907"/>
      <c r="AC109" s="907"/>
      <c r="AD109" s="907"/>
    </row>
    <row r="110" spans="1:30" s="905" customFormat="1" x14ac:dyDescent="0.25">
      <c r="A110" s="907"/>
      <c r="B110" s="907"/>
      <c r="C110" s="907"/>
      <c r="D110" s="907"/>
      <c r="E110" s="907"/>
      <c r="F110" s="907"/>
      <c r="G110" s="907"/>
      <c r="H110" s="907"/>
      <c r="I110" s="907"/>
      <c r="J110" s="907"/>
      <c r="K110" s="907"/>
      <c r="L110" s="907"/>
      <c r="M110" s="907"/>
      <c r="N110" s="907"/>
      <c r="O110" s="907"/>
      <c r="P110" s="907"/>
      <c r="Q110" s="907"/>
      <c r="R110" s="907"/>
      <c r="S110" s="907"/>
      <c r="T110" s="907"/>
      <c r="U110" s="907"/>
      <c r="V110" s="907"/>
      <c r="W110" s="907"/>
      <c r="X110" s="907"/>
      <c r="Y110" s="907"/>
      <c r="Z110" s="907"/>
      <c r="AA110" s="907"/>
      <c r="AB110" s="907"/>
      <c r="AC110" s="907"/>
      <c r="AD110" s="907"/>
    </row>
    <row r="111" spans="1:30" s="905" customFormat="1" x14ac:dyDescent="0.25">
      <c r="A111" s="907"/>
      <c r="B111" s="907"/>
      <c r="C111" s="907"/>
      <c r="D111" s="907"/>
      <c r="E111" s="907"/>
      <c r="F111" s="907"/>
      <c r="G111" s="907"/>
      <c r="H111" s="907"/>
      <c r="I111" s="907"/>
      <c r="J111" s="907"/>
      <c r="K111" s="907"/>
      <c r="L111" s="907"/>
      <c r="M111" s="907"/>
      <c r="N111" s="907"/>
      <c r="O111" s="907"/>
      <c r="P111" s="907"/>
      <c r="Q111" s="907"/>
      <c r="R111" s="907"/>
      <c r="S111" s="907"/>
      <c r="T111" s="907"/>
      <c r="U111" s="907"/>
      <c r="V111" s="907"/>
      <c r="W111" s="907"/>
      <c r="X111" s="907"/>
      <c r="Y111" s="907"/>
      <c r="Z111" s="907"/>
      <c r="AA111" s="907"/>
      <c r="AB111" s="907"/>
      <c r="AC111" s="907"/>
      <c r="AD111" s="907"/>
    </row>
    <row r="112" spans="1:30" s="905" customFormat="1" x14ac:dyDescent="0.25">
      <c r="A112" s="907"/>
      <c r="B112" s="907"/>
      <c r="C112" s="907"/>
      <c r="D112" s="907"/>
      <c r="E112" s="907"/>
      <c r="F112" s="907"/>
      <c r="G112" s="907"/>
      <c r="H112" s="907"/>
      <c r="I112" s="907"/>
      <c r="J112" s="907"/>
      <c r="K112" s="907"/>
      <c r="L112" s="907"/>
      <c r="M112" s="907"/>
      <c r="N112" s="907"/>
      <c r="O112" s="907"/>
      <c r="P112" s="907"/>
      <c r="Q112" s="907"/>
      <c r="R112" s="907"/>
      <c r="S112" s="907"/>
      <c r="T112" s="907"/>
      <c r="U112" s="907"/>
      <c r="V112" s="907"/>
      <c r="W112" s="907"/>
      <c r="X112" s="907"/>
      <c r="Y112" s="907"/>
      <c r="Z112" s="907"/>
      <c r="AA112" s="907"/>
      <c r="AB112" s="907"/>
      <c r="AC112" s="907"/>
      <c r="AD112" s="907"/>
    </row>
    <row r="113" spans="1:30" s="905" customFormat="1" x14ac:dyDescent="0.25">
      <c r="A113" s="907"/>
      <c r="B113" s="907"/>
      <c r="C113" s="907"/>
      <c r="D113" s="907"/>
      <c r="E113" s="907"/>
      <c r="F113" s="907"/>
      <c r="G113" s="907"/>
      <c r="H113" s="907"/>
      <c r="I113" s="907"/>
      <c r="J113" s="907"/>
      <c r="K113" s="907"/>
      <c r="L113" s="907"/>
      <c r="M113" s="907"/>
      <c r="N113" s="907"/>
      <c r="O113" s="907"/>
      <c r="P113" s="907"/>
      <c r="Q113" s="907"/>
      <c r="R113" s="907"/>
      <c r="S113" s="907"/>
      <c r="T113" s="907"/>
      <c r="U113" s="907"/>
      <c r="V113" s="907"/>
      <c r="W113" s="907"/>
      <c r="X113" s="907"/>
      <c r="Y113" s="907"/>
      <c r="Z113" s="907"/>
      <c r="AA113" s="907"/>
      <c r="AB113" s="907"/>
      <c r="AC113" s="907"/>
      <c r="AD113" s="907"/>
    </row>
    <row r="114" spans="1:30" s="905" customFormat="1" x14ac:dyDescent="0.25">
      <c r="A114" s="907"/>
      <c r="B114" s="907"/>
      <c r="C114" s="907"/>
      <c r="D114" s="907"/>
      <c r="E114" s="907"/>
      <c r="F114" s="907"/>
      <c r="G114" s="907"/>
      <c r="H114" s="907"/>
      <c r="I114" s="907"/>
      <c r="J114" s="907"/>
      <c r="K114" s="907"/>
      <c r="L114" s="907"/>
      <c r="M114" s="907"/>
      <c r="N114" s="907"/>
      <c r="O114" s="907"/>
      <c r="P114" s="907"/>
      <c r="Q114" s="907"/>
      <c r="R114" s="907"/>
      <c r="S114" s="907"/>
      <c r="T114" s="907"/>
      <c r="U114" s="907"/>
      <c r="V114" s="907"/>
      <c r="W114" s="907"/>
      <c r="X114" s="907"/>
      <c r="Y114" s="907"/>
      <c r="Z114" s="907"/>
      <c r="AA114" s="907"/>
      <c r="AB114" s="907"/>
      <c r="AC114" s="907"/>
      <c r="AD114" s="907"/>
    </row>
    <row r="115" spans="1:30" s="905" customFormat="1" x14ac:dyDescent="0.25">
      <c r="A115" s="907"/>
      <c r="B115" s="907"/>
      <c r="C115" s="907"/>
      <c r="D115" s="907"/>
      <c r="E115" s="907"/>
      <c r="F115" s="907"/>
      <c r="G115" s="907"/>
      <c r="H115" s="907"/>
      <c r="I115" s="907"/>
      <c r="J115" s="907"/>
      <c r="K115" s="907"/>
      <c r="L115" s="907"/>
      <c r="M115" s="907"/>
      <c r="N115" s="907"/>
      <c r="O115" s="907"/>
      <c r="P115" s="907"/>
      <c r="Q115" s="907"/>
      <c r="R115" s="907"/>
      <c r="S115" s="907"/>
      <c r="T115" s="907"/>
      <c r="U115" s="907"/>
      <c r="V115" s="907"/>
      <c r="W115" s="907"/>
      <c r="X115" s="907"/>
      <c r="Y115" s="907"/>
      <c r="Z115" s="907"/>
      <c r="AA115" s="907"/>
      <c r="AB115" s="907"/>
      <c r="AC115" s="907"/>
      <c r="AD115" s="907"/>
    </row>
    <row r="116" spans="1:30" s="905" customFormat="1" x14ac:dyDescent="0.25">
      <c r="A116" s="907"/>
      <c r="B116" s="907"/>
      <c r="C116" s="907"/>
      <c r="D116" s="907"/>
      <c r="E116" s="907"/>
      <c r="F116" s="907"/>
      <c r="G116" s="907"/>
      <c r="H116" s="907"/>
      <c r="I116" s="907"/>
      <c r="J116" s="907"/>
      <c r="K116" s="907"/>
      <c r="L116" s="907"/>
      <c r="M116" s="907"/>
      <c r="N116" s="907"/>
      <c r="O116" s="907"/>
      <c r="P116" s="907"/>
      <c r="Q116" s="907"/>
      <c r="R116" s="907"/>
      <c r="S116" s="907"/>
      <c r="T116" s="907"/>
      <c r="U116" s="907"/>
      <c r="V116" s="907"/>
      <c r="W116" s="907"/>
      <c r="X116" s="907"/>
      <c r="Y116" s="907"/>
      <c r="Z116" s="907"/>
      <c r="AA116" s="907"/>
      <c r="AB116" s="907"/>
      <c r="AC116" s="907"/>
      <c r="AD116" s="907"/>
    </row>
    <row r="117" spans="1:30" s="905" customFormat="1" x14ac:dyDescent="0.25">
      <c r="A117" s="907"/>
      <c r="B117" s="907"/>
      <c r="C117" s="907"/>
      <c r="D117" s="907"/>
      <c r="E117" s="907"/>
      <c r="F117" s="907"/>
      <c r="G117" s="907"/>
      <c r="H117" s="907"/>
      <c r="I117" s="907"/>
      <c r="J117" s="907"/>
      <c r="K117" s="907"/>
      <c r="L117" s="907"/>
      <c r="M117" s="907"/>
      <c r="N117" s="907"/>
      <c r="O117" s="907"/>
      <c r="P117" s="907"/>
      <c r="Q117" s="907"/>
      <c r="R117" s="907"/>
      <c r="S117" s="907"/>
      <c r="T117" s="907"/>
      <c r="U117" s="907"/>
      <c r="V117" s="907"/>
      <c r="W117" s="907"/>
      <c r="X117" s="907"/>
      <c r="Y117" s="907"/>
      <c r="Z117" s="907"/>
      <c r="AA117" s="907"/>
      <c r="AB117" s="907"/>
      <c r="AC117" s="907"/>
      <c r="AD117" s="907"/>
    </row>
    <row r="118" spans="1:30" s="905" customFormat="1" x14ac:dyDescent="0.25">
      <c r="A118" s="907"/>
      <c r="B118" s="907"/>
      <c r="C118" s="907"/>
      <c r="D118" s="907"/>
      <c r="E118" s="907"/>
      <c r="F118" s="907"/>
      <c r="G118" s="907"/>
      <c r="H118" s="907"/>
      <c r="I118" s="907"/>
      <c r="J118" s="907"/>
      <c r="K118" s="907"/>
      <c r="L118" s="907"/>
      <c r="M118" s="907"/>
      <c r="N118" s="907"/>
      <c r="O118" s="907"/>
      <c r="P118" s="907"/>
      <c r="Q118" s="907"/>
      <c r="R118" s="907"/>
      <c r="S118" s="907"/>
      <c r="T118" s="907"/>
      <c r="U118" s="907"/>
      <c r="V118" s="907"/>
      <c r="W118" s="907"/>
      <c r="X118" s="907"/>
      <c r="Y118" s="907"/>
      <c r="Z118" s="907"/>
      <c r="AA118" s="907"/>
      <c r="AB118" s="907"/>
      <c r="AC118" s="907"/>
      <c r="AD118" s="907"/>
    </row>
    <row r="119" spans="1:30" s="905" customFormat="1" x14ac:dyDescent="0.25">
      <c r="A119" s="907"/>
      <c r="B119" s="907"/>
      <c r="C119" s="907"/>
      <c r="D119" s="907"/>
      <c r="E119" s="907"/>
      <c r="F119" s="907"/>
      <c r="G119" s="907"/>
      <c r="H119" s="907"/>
      <c r="I119" s="907"/>
      <c r="J119" s="907"/>
      <c r="K119" s="907"/>
      <c r="L119" s="907"/>
      <c r="M119" s="907"/>
      <c r="N119" s="907"/>
      <c r="O119" s="907"/>
      <c r="P119" s="907"/>
      <c r="Q119" s="907"/>
      <c r="R119" s="907"/>
      <c r="S119" s="907"/>
      <c r="T119" s="907"/>
      <c r="U119" s="907"/>
      <c r="V119" s="907"/>
      <c r="W119" s="907"/>
      <c r="X119" s="907"/>
      <c r="Y119" s="907"/>
      <c r="Z119" s="907"/>
      <c r="AA119" s="907"/>
      <c r="AB119" s="907"/>
      <c r="AC119" s="907"/>
      <c r="AD119" s="907"/>
    </row>
    <row r="120" spans="1:30" s="905" customFormat="1" x14ac:dyDescent="0.25">
      <c r="A120" s="907"/>
      <c r="B120" s="907"/>
      <c r="C120" s="907"/>
      <c r="D120" s="907"/>
      <c r="E120" s="907"/>
      <c r="F120" s="907"/>
      <c r="G120" s="907"/>
      <c r="H120" s="907"/>
      <c r="I120" s="907"/>
      <c r="J120" s="907"/>
      <c r="K120" s="907"/>
      <c r="L120" s="907"/>
      <c r="M120" s="907"/>
      <c r="N120" s="907"/>
      <c r="O120" s="907"/>
      <c r="P120" s="907"/>
      <c r="Q120" s="907"/>
      <c r="R120" s="907"/>
      <c r="S120" s="907"/>
      <c r="T120" s="907"/>
      <c r="U120" s="907"/>
      <c r="V120" s="907"/>
      <c r="W120" s="907"/>
      <c r="X120" s="907"/>
      <c r="Y120" s="907"/>
      <c r="Z120" s="907"/>
      <c r="AA120" s="907"/>
      <c r="AB120" s="907"/>
      <c r="AC120" s="907"/>
      <c r="AD120" s="907"/>
    </row>
    <row r="121" spans="1:30" s="905" customFormat="1" x14ac:dyDescent="0.25">
      <c r="A121" s="907"/>
      <c r="B121" s="907"/>
      <c r="C121" s="907"/>
      <c r="D121" s="907"/>
      <c r="E121" s="907"/>
      <c r="F121" s="907"/>
      <c r="G121" s="907"/>
      <c r="H121" s="907"/>
      <c r="I121" s="907"/>
      <c r="J121" s="907"/>
      <c r="K121" s="907"/>
      <c r="L121" s="907"/>
      <c r="M121" s="907"/>
      <c r="N121" s="907"/>
      <c r="O121" s="907"/>
      <c r="P121" s="907"/>
      <c r="Q121" s="907"/>
      <c r="R121" s="907"/>
      <c r="S121" s="907"/>
      <c r="T121" s="907"/>
      <c r="U121" s="907"/>
      <c r="V121" s="907"/>
      <c r="W121" s="907"/>
      <c r="X121" s="907"/>
      <c r="Y121" s="907"/>
      <c r="Z121" s="907"/>
      <c r="AA121" s="907"/>
      <c r="AB121" s="907"/>
      <c r="AC121" s="907"/>
      <c r="AD121" s="907"/>
    </row>
    <row r="122" spans="1:30" s="905" customFormat="1" x14ac:dyDescent="0.25">
      <c r="A122" s="907"/>
      <c r="B122" s="907"/>
      <c r="C122" s="907"/>
      <c r="D122" s="907"/>
      <c r="E122" s="907"/>
      <c r="F122" s="907"/>
      <c r="G122" s="907"/>
      <c r="H122" s="907"/>
      <c r="I122" s="907"/>
      <c r="J122" s="907"/>
      <c r="K122" s="907"/>
      <c r="L122" s="907"/>
      <c r="M122" s="907"/>
      <c r="N122" s="907"/>
      <c r="O122" s="907"/>
      <c r="P122" s="907"/>
      <c r="Q122" s="907"/>
      <c r="R122" s="907"/>
      <c r="S122" s="907"/>
      <c r="T122" s="907"/>
      <c r="U122" s="907"/>
      <c r="V122" s="907"/>
      <c r="W122" s="907"/>
      <c r="X122" s="907"/>
      <c r="Y122" s="907"/>
      <c r="Z122" s="907"/>
      <c r="AA122" s="907"/>
      <c r="AB122" s="907"/>
      <c r="AC122" s="907"/>
      <c r="AD122" s="907"/>
    </row>
    <row r="123" spans="1:30" s="905" customFormat="1" x14ac:dyDescent="0.25">
      <c r="A123" s="907"/>
      <c r="B123" s="907"/>
      <c r="C123" s="907"/>
      <c r="D123" s="907"/>
      <c r="E123" s="907"/>
      <c r="F123" s="907"/>
      <c r="G123" s="907"/>
      <c r="H123" s="907"/>
      <c r="I123" s="907"/>
      <c r="J123" s="907"/>
      <c r="K123" s="907"/>
      <c r="L123" s="907"/>
      <c r="M123" s="907"/>
      <c r="N123" s="907"/>
      <c r="O123" s="907"/>
      <c r="P123" s="907"/>
      <c r="Q123" s="907"/>
      <c r="R123" s="907"/>
      <c r="S123" s="907"/>
      <c r="T123" s="907"/>
      <c r="U123" s="907"/>
      <c r="V123" s="907"/>
      <c r="W123" s="907"/>
      <c r="X123" s="907"/>
      <c r="Y123" s="907"/>
      <c r="Z123" s="907"/>
      <c r="AA123" s="907"/>
      <c r="AB123" s="907"/>
      <c r="AC123" s="907"/>
      <c r="AD123" s="907"/>
    </row>
    <row r="124" spans="1:30" s="905" customFormat="1" x14ac:dyDescent="0.25">
      <c r="A124" s="907"/>
      <c r="B124" s="907"/>
      <c r="C124" s="907"/>
      <c r="D124" s="907"/>
      <c r="E124" s="907"/>
      <c r="F124" s="907"/>
      <c r="G124" s="907"/>
      <c r="H124" s="907"/>
      <c r="I124" s="907"/>
      <c r="J124" s="907"/>
      <c r="K124" s="907"/>
      <c r="L124" s="907"/>
      <c r="M124" s="907"/>
      <c r="N124" s="907"/>
      <c r="O124" s="907"/>
      <c r="P124" s="907"/>
      <c r="Q124" s="907"/>
      <c r="R124" s="907"/>
      <c r="S124" s="907"/>
      <c r="T124" s="907"/>
      <c r="U124" s="907"/>
      <c r="V124" s="907"/>
      <c r="W124" s="907"/>
      <c r="X124" s="907"/>
      <c r="Y124" s="907"/>
      <c r="Z124" s="907"/>
      <c r="AA124" s="907"/>
      <c r="AB124" s="907"/>
      <c r="AC124" s="907"/>
      <c r="AD124" s="907"/>
    </row>
    <row r="125" spans="1:30" s="905" customFormat="1" x14ac:dyDescent="0.25">
      <c r="A125" s="907"/>
      <c r="B125" s="907"/>
      <c r="C125" s="907"/>
      <c r="D125" s="907"/>
      <c r="E125" s="907"/>
      <c r="F125" s="907"/>
      <c r="G125" s="907"/>
      <c r="H125" s="907"/>
      <c r="I125" s="907"/>
      <c r="J125" s="907"/>
      <c r="K125" s="907"/>
      <c r="L125" s="907"/>
      <c r="M125" s="907"/>
      <c r="N125" s="907"/>
      <c r="O125" s="907"/>
      <c r="P125" s="907"/>
      <c r="Q125" s="907"/>
      <c r="R125" s="907"/>
      <c r="S125" s="907"/>
      <c r="T125" s="907"/>
      <c r="U125" s="907"/>
      <c r="V125" s="907"/>
      <c r="W125" s="907"/>
      <c r="X125" s="907"/>
      <c r="Y125" s="907"/>
      <c r="Z125" s="907"/>
      <c r="AA125" s="907"/>
      <c r="AB125" s="907"/>
      <c r="AC125" s="907"/>
      <c r="AD125" s="907"/>
    </row>
    <row r="126" spans="1:30" s="905" customFormat="1" x14ac:dyDescent="0.25">
      <c r="A126" s="907"/>
      <c r="B126" s="907"/>
      <c r="C126" s="907"/>
      <c r="D126" s="907"/>
      <c r="E126" s="907"/>
      <c r="F126" s="907"/>
      <c r="G126" s="907"/>
      <c r="H126" s="907"/>
      <c r="I126" s="907"/>
      <c r="J126" s="907"/>
      <c r="K126" s="907"/>
      <c r="L126" s="907"/>
      <c r="M126" s="907"/>
      <c r="N126" s="907"/>
      <c r="O126" s="907"/>
      <c r="P126" s="907"/>
      <c r="Q126" s="907"/>
      <c r="R126" s="907"/>
      <c r="S126" s="907"/>
      <c r="T126" s="907"/>
      <c r="U126" s="907"/>
      <c r="V126" s="907"/>
      <c r="W126" s="907"/>
      <c r="X126" s="907"/>
      <c r="Y126" s="907"/>
      <c r="Z126" s="907"/>
      <c r="AA126" s="907"/>
      <c r="AB126" s="907"/>
      <c r="AC126" s="907"/>
      <c r="AD126" s="907"/>
    </row>
    <row r="127" spans="1:30" s="905" customFormat="1" x14ac:dyDescent="0.25">
      <c r="A127" s="907"/>
      <c r="B127" s="907"/>
      <c r="C127" s="907"/>
      <c r="D127" s="907"/>
      <c r="E127" s="907"/>
      <c r="F127" s="907"/>
      <c r="G127" s="907"/>
      <c r="H127" s="907"/>
      <c r="I127" s="907"/>
      <c r="J127" s="907"/>
      <c r="K127" s="907"/>
      <c r="L127" s="907"/>
      <c r="M127" s="907"/>
      <c r="N127" s="907"/>
      <c r="O127" s="907"/>
      <c r="P127" s="907"/>
      <c r="Q127" s="907"/>
      <c r="R127" s="907"/>
      <c r="S127" s="907"/>
      <c r="T127" s="907"/>
      <c r="U127" s="907"/>
      <c r="V127" s="907"/>
      <c r="W127" s="907"/>
      <c r="X127" s="907"/>
      <c r="Y127" s="907"/>
      <c r="Z127" s="907"/>
      <c r="AA127" s="907"/>
      <c r="AB127" s="907"/>
      <c r="AC127" s="907"/>
      <c r="AD127" s="907"/>
    </row>
    <row r="128" spans="1:30" s="905" customFormat="1" x14ac:dyDescent="0.25">
      <c r="A128" s="907"/>
      <c r="B128" s="907"/>
      <c r="C128" s="907"/>
      <c r="D128" s="907"/>
      <c r="E128" s="907"/>
      <c r="F128" s="907"/>
      <c r="G128" s="907"/>
      <c r="H128" s="907"/>
      <c r="I128" s="907"/>
      <c r="J128" s="907"/>
      <c r="K128" s="907"/>
      <c r="L128" s="907"/>
      <c r="M128" s="907"/>
      <c r="N128" s="907"/>
      <c r="O128" s="907"/>
      <c r="P128" s="907"/>
      <c r="Q128" s="907"/>
      <c r="R128" s="907"/>
      <c r="S128" s="907"/>
      <c r="T128" s="907"/>
      <c r="U128" s="907"/>
      <c r="V128" s="907"/>
      <c r="W128" s="907"/>
      <c r="X128" s="907"/>
      <c r="Y128" s="907"/>
      <c r="Z128" s="907"/>
      <c r="AA128" s="907"/>
      <c r="AB128" s="907"/>
      <c r="AC128" s="907"/>
      <c r="AD128" s="907"/>
    </row>
    <row r="129" spans="1:30" s="905" customFormat="1" x14ac:dyDescent="0.25">
      <c r="A129" s="907"/>
      <c r="B129" s="907"/>
      <c r="C129" s="907"/>
      <c r="D129" s="907"/>
      <c r="E129" s="907"/>
      <c r="F129" s="907"/>
      <c r="G129" s="907"/>
      <c r="H129" s="907"/>
      <c r="I129" s="907"/>
      <c r="J129" s="907"/>
      <c r="K129" s="907"/>
      <c r="L129" s="907"/>
      <c r="M129" s="907"/>
      <c r="N129" s="907"/>
      <c r="O129" s="907"/>
      <c r="P129" s="907"/>
      <c r="Q129" s="907"/>
      <c r="R129" s="907"/>
      <c r="S129" s="907"/>
      <c r="T129" s="907"/>
      <c r="U129" s="907"/>
      <c r="V129" s="907"/>
      <c r="W129" s="907"/>
      <c r="X129" s="907"/>
      <c r="Y129" s="907"/>
      <c r="Z129" s="907"/>
      <c r="AA129" s="907"/>
      <c r="AB129" s="907"/>
      <c r="AC129" s="907"/>
      <c r="AD129" s="907"/>
    </row>
    <row r="130" spans="1:30" s="905" customFormat="1" x14ac:dyDescent="0.25">
      <c r="A130" s="907"/>
      <c r="B130" s="907"/>
      <c r="C130" s="907"/>
      <c r="D130" s="907"/>
      <c r="E130" s="907"/>
      <c r="F130" s="907"/>
      <c r="G130" s="907"/>
      <c r="H130" s="907"/>
      <c r="I130" s="907"/>
      <c r="J130" s="907"/>
      <c r="K130" s="907"/>
      <c r="L130" s="907"/>
      <c r="M130" s="907"/>
      <c r="N130" s="907"/>
      <c r="O130" s="907"/>
      <c r="P130" s="907"/>
      <c r="Q130" s="907"/>
      <c r="R130" s="907"/>
      <c r="S130" s="907"/>
      <c r="T130" s="907"/>
      <c r="U130" s="907"/>
      <c r="V130" s="907"/>
      <c r="W130" s="907"/>
      <c r="X130" s="907"/>
      <c r="Y130" s="907"/>
      <c r="Z130" s="907"/>
      <c r="AA130" s="907"/>
      <c r="AB130" s="907"/>
      <c r="AC130" s="907"/>
      <c r="AD130" s="907"/>
    </row>
    <row r="131" spans="1:30" s="905" customFormat="1" x14ac:dyDescent="0.25">
      <c r="A131" s="907"/>
      <c r="B131" s="907"/>
      <c r="C131" s="907"/>
      <c r="D131" s="907"/>
      <c r="E131" s="907"/>
      <c r="F131" s="907"/>
      <c r="G131" s="907"/>
      <c r="H131" s="907"/>
      <c r="I131" s="907"/>
      <c r="J131" s="907"/>
      <c r="K131" s="907"/>
      <c r="L131" s="907"/>
      <c r="M131" s="907"/>
      <c r="N131" s="907"/>
      <c r="O131" s="907"/>
      <c r="P131" s="907"/>
      <c r="Q131" s="907"/>
      <c r="R131" s="907"/>
      <c r="S131" s="907"/>
      <c r="T131" s="907"/>
      <c r="U131" s="907"/>
      <c r="V131" s="907"/>
      <c r="W131" s="907"/>
      <c r="X131" s="907"/>
      <c r="Y131" s="907"/>
      <c r="Z131" s="907"/>
      <c r="AA131" s="907"/>
      <c r="AB131" s="907"/>
      <c r="AC131" s="907"/>
      <c r="AD131" s="907"/>
    </row>
    <row r="132" spans="1:30" s="905" customFormat="1" x14ac:dyDescent="0.25">
      <c r="A132" s="907"/>
      <c r="B132" s="907"/>
      <c r="C132" s="907"/>
      <c r="D132" s="907"/>
      <c r="E132" s="907"/>
      <c r="F132" s="907"/>
      <c r="G132" s="907"/>
      <c r="H132" s="907"/>
      <c r="I132" s="907"/>
      <c r="J132" s="907"/>
      <c r="K132" s="907"/>
      <c r="L132" s="907"/>
      <c r="M132" s="907"/>
      <c r="N132" s="907"/>
      <c r="O132" s="907"/>
      <c r="P132" s="907"/>
      <c r="Q132" s="907"/>
      <c r="R132" s="907"/>
      <c r="S132" s="907"/>
      <c r="T132" s="907"/>
      <c r="U132" s="907"/>
      <c r="V132" s="907"/>
      <c r="W132" s="907"/>
      <c r="X132" s="907"/>
      <c r="Y132" s="907"/>
      <c r="Z132" s="907"/>
      <c r="AA132" s="907"/>
      <c r="AB132" s="907"/>
      <c r="AC132" s="907"/>
      <c r="AD132" s="907"/>
    </row>
    <row r="133" spans="1:30" s="905" customFormat="1" x14ac:dyDescent="0.25">
      <c r="A133" s="907"/>
      <c r="B133" s="907"/>
      <c r="C133" s="907"/>
      <c r="D133" s="907"/>
      <c r="E133" s="907"/>
      <c r="F133" s="907"/>
      <c r="G133" s="907"/>
      <c r="H133" s="907"/>
      <c r="I133" s="907"/>
      <c r="J133" s="907"/>
      <c r="K133" s="907"/>
      <c r="L133" s="907"/>
      <c r="M133" s="907"/>
      <c r="N133" s="907"/>
      <c r="O133" s="907"/>
      <c r="P133" s="907"/>
      <c r="Q133" s="907"/>
      <c r="R133" s="907"/>
      <c r="S133" s="907"/>
      <c r="T133" s="907"/>
      <c r="U133" s="907"/>
      <c r="V133" s="907"/>
      <c r="W133" s="907"/>
      <c r="X133" s="907"/>
      <c r="Y133" s="907"/>
      <c r="Z133" s="907"/>
      <c r="AA133" s="907"/>
      <c r="AB133" s="907"/>
      <c r="AC133" s="907"/>
      <c r="AD133" s="907"/>
    </row>
    <row r="134" spans="1:30" s="905" customFormat="1" x14ac:dyDescent="0.25">
      <c r="A134" s="907"/>
      <c r="B134" s="907"/>
      <c r="C134" s="907"/>
      <c r="D134" s="907"/>
      <c r="E134" s="907"/>
      <c r="F134" s="907"/>
      <c r="G134" s="907"/>
      <c r="H134" s="907"/>
      <c r="I134" s="907"/>
      <c r="J134" s="907"/>
      <c r="K134" s="907"/>
      <c r="L134" s="907"/>
      <c r="M134" s="907"/>
      <c r="N134" s="907"/>
      <c r="O134" s="907"/>
      <c r="P134" s="907"/>
      <c r="Q134" s="907"/>
      <c r="R134" s="907"/>
      <c r="S134" s="907"/>
      <c r="T134" s="907"/>
      <c r="U134" s="907"/>
      <c r="V134" s="907"/>
      <c r="W134" s="907"/>
      <c r="X134" s="907"/>
      <c r="Y134" s="907"/>
      <c r="Z134" s="907"/>
      <c r="AA134" s="907"/>
      <c r="AB134" s="907"/>
      <c r="AC134" s="907"/>
      <c r="AD134" s="907"/>
    </row>
    <row r="135" spans="1:30" s="905" customFormat="1" x14ac:dyDescent="0.25">
      <c r="A135" s="907"/>
      <c r="B135" s="907"/>
      <c r="C135" s="907"/>
      <c r="D135" s="907"/>
      <c r="E135" s="907"/>
      <c r="F135" s="907"/>
      <c r="G135" s="907"/>
      <c r="H135" s="907"/>
      <c r="I135" s="907"/>
      <c r="J135" s="907"/>
      <c r="K135" s="907"/>
      <c r="L135" s="907"/>
      <c r="M135" s="907"/>
      <c r="N135" s="907"/>
      <c r="O135" s="907"/>
      <c r="P135" s="907"/>
      <c r="Q135" s="907"/>
      <c r="R135" s="907"/>
      <c r="S135" s="907"/>
      <c r="T135" s="907"/>
      <c r="U135" s="907"/>
      <c r="V135" s="907"/>
      <c r="W135" s="907"/>
      <c r="X135" s="907"/>
      <c r="Y135" s="907"/>
      <c r="Z135" s="907"/>
      <c r="AA135" s="907"/>
      <c r="AB135" s="907"/>
      <c r="AC135" s="907"/>
      <c r="AD135" s="907"/>
    </row>
    <row r="136" spans="1:30" s="905" customFormat="1" x14ac:dyDescent="0.25">
      <c r="A136" s="907"/>
      <c r="B136" s="907"/>
      <c r="C136" s="907"/>
      <c r="D136" s="907"/>
      <c r="E136" s="907"/>
      <c r="F136" s="907"/>
      <c r="G136" s="907"/>
      <c r="H136" s="907"/>
      <c r="I136" s="907"/>
      <c r="J136" s="907"/>
      <c r="K136" s="907"/>
      <c r="L136" s="907"/>
      <c r="M136" s="907"/>
      <c r="N136" s="907"/>
      <c r="O136" s="907"/>
      <c r="P136" s="907"/>
      <c r="Q136" s="907"/>
      <c r="R136" s="907"/>
      <c r="S136" s="907"/>
      <c r="T136" s="907"/>
      <c r="U136" s="907"/>
      <c r="V136" s="907"/>
      <c r="W136" s="907"/>
      <c r="X136" s="907"/>
      <c r="Y136" s="907"/>
      <c r="Z136" s="907"/>
      <c r="AA136" s="907"/>
      <c r="AB136" s="907"/>
      <c r="AC136" s="907"/>
      <c r="AD136" s="907"/>
    </row>
    <row r="137" spans="1:30" s="905" customFormat="1" x14ac:dyDescent="0.25">
      <c r="A137" s="907"/>
      <c r="B137" s="907"/>
      <c r="C137" s="907"/>
      <c r="D137" s="907"/>
      <c r="E137" s="907"/>
      <c r="F137" s="907"/>
      <c r="G137" s="907"/>
      <c r="H137" s="907"/>
      <c r="I137" s="907"/>
      <c r="J137" s="907"/>
      <c r="K137" s="907"/>
      <c r="L137" s="907"/>
      <c r="M137" s="907"/>
      <c r="N137" s="907"/>
      <c r="O137" s="907"/>
      <c r="P137" s="907"/>
      <c r="Q137" s="907"/>
      <c r="R137" s="907"/>
      <c r="S137" s="907"/>
      <c r="T137" s="907"/>
      <c r="U137" s="907"/>
      <c r="V137" s="907"/>
      <c r="W137" s="907"/>
      <c r="X137" s="907"/>
      <c r="Y137" s="907"/>
      <c r="Z137" s="907"/>
      <c r="AA137" s="907"/>
      <c r="AB137" s="907"/>
      <c r="AC137" s="907"/>
      <c r="AD137" s="907"/>
    </row>
    <row r="138" spans="1:30" s="905" customFormat="1" x14ac:dyDescent="0.25">
      <c r="A138" s="907"/>
      <c r="B138" s="907"/>
      <c r="C138" s="907"/>
      <c r="D138" s="907"/>
      <c r="E138" s="907"/>
      <c r="F138" s="907"/>
      <c r="G138" s="907"/>
      <c r="H138" s="907"/>
      <c r="I138" s="907"/>
      <c r="J138" s="907"/>
      <c r="K138" s="907"/>
      <c r="L138" s="907"/>
      <c r="M138" s="907"/>
      <c r="N138" s="907"/>
      <c r="O138" s="907"/>
      <c r="P138" s="907"/>
      <c r="Q138" s="907"/>
      <c r="R138" s="907"/>
      <c r="S138" s="907"/>
      <c r="T138" s="907"/>
      <c r="U138" s="907"/>
      <c r="V138" s="907"/>
      <c r="W138" s="907"/>
      <c r="X138" s="907"/>
      <c r="Y138" s="907"/>
      <c r="Z138" s="907"/>
      <c r="AA138" s="907"/>
      <c r="AB138" s="907"/>
      <c r="AC138" s="907"/>
      <c r="AD138" s="907"/>
    </row>
    <row r="139" spans="1:30" s="905" customFormat="1" x14ac:dyDescent="0.25">
      <c r="A139" s="907"/>
      <c r="B139" s="907"/>
      <c r="C139" s="907"/>
      <c r="D139" s="907"/>
      <c r="E139" s="907"/>
      <c r="F139" s="907"/>
      <c r="G139" s="907"/>
      <c r="H139" s="907"/>
      <c r="I139" s="907"/>
      <c r="J139" s="907"/>
      <c r="K139" s="907"/>
      <c r="L139" s="907"/>
      <c r="M139" s="907"/>
      <c r="N139" s="907"/>
      <c r="O139" s="907"/>
      <c r="P139" s="907"/>
      <c r="Q139" s="907"/>
      <c r="R139" s="907"/>
      <c r="S139" s="907"/>
      <c r="T139" s="907"/>
      <c r="U139" s="907"/>
      <c r="V139" s="907"/>
      <c r="W139" s="907"/>
      <c r="X139" s="907"/>
      <c r="Y139" s="907"/>
      <c r="Z139" s="907"/>
      <c r="AA139" s="907"/>
      <c r="AB139" s="907"/>
      <c r="AC139" s="907"/>
      <c r="AD139" s="907"/>
    </row>
    <row r="140" spans="1:30" s="905" customFormat="1" x14ac:dyDescent="0.25">
      <c r="A140" s="907"/>
      <c r="B140" s="907"/>
      <c r="C140" s="907"/>
      <c r="D140" s="907"/>
      <c r="E140" s="907"/>
      <c r="F140" s="907"/>
      <c r="G140" s="907"/>
      <c r="H140" s="907"/>
      <c r="I140" s="907"/>
      <c r="J140" s="907"/>
      <c r="K140" s="907"/>
      <c r="L140" s="907"/>
      <c r="M140" s="907"/>
      <c r="N140" s="907"/>
      <c r="O140" s="907"/>
      <c r="P140" s="907"/>
      <c r="Q140" s="907"/>
      <c r="R140" s="907"/>
      <c r="S140" s="907"/>
      <c r="T140" s="907"/>
      <c r="U140" s="907"/>
      <c r="V140" s="907"/>
      <c r="W140" s="907"/>
      <c r="X140" s="907"/>
      <c r="Y140" s="907"/>
      <c r="Z140" s="907"/>
      <c r="AA140" s="907"/>
      <c r="AB140" s="907"/>
      <c r="AC140" s="907"/>
      <c r="AD140" s="907"/>
    </row>
    <row r="141" spans="1:30" s="905" customFormat="1" x14ac:dyDescent="0.25">
      <c r="A141" s="907"/>
      <c r="B141" s="907"/>
      <c r="C141" s="907"/>
      <c r="D141" s="907"/>
      <c r="E141" s="907"/>
      <c r="F141" s="907"/>
      <c r="G141" s="907"/>
      <c r="H141" s="907"/>
      <c r="I141" s="907"/>
      <c r="J141" s="907"/>
      <c r="K141" s="907"/>
      <c r="L141" s="907"/>
      <c r="M141" s="907"/>
      <c r="N141" s="907"/>
      <c r="O141" s="907"/>
      <c r="P141" s="907"/>
      <c r="Q141" s="907"/>
      <c r="R141" s="907"/>
      <c r="S141" s="907"/>
      <c r="T141" s="907"/>
      <c r="U141" s="907"/>
      <c r="V141" s="907"/>
      <c r="W141" s="907"/>
      <c r="X141" s="907"/>
      <c r="Y141" s="907"/>
      <c r="Z141" s="907"/>
      <c r="AA141" s="907"/>
      <c r="AB141" s="907"/>
      <c r="AC141" s="907"/>
      <c r="AD141" s="907"/>
    </row>
    <row r="142" spans="1:30" s="905" customFormat="1" x14ac:dyDescent="0.25">
      <c r="A142" s="907"/>
      <c r="B142" s="907"/>
      <c r="C142" s="907"/>
      <c r="D142" s="907"/>
      <c r="E142" s="907"/>
      <c r="F142" s="907"/>
      <c r="G142" s="907"/>
      <c r="H142" s="907"/>
      <c r="I142" s="907"/>
      <c r="J142" s="907"/>
      <c r="K142" s="907"/>
      <c r="L142" s="907"/>
      <c r="M142" s="907"/>
      <c r="N142" s="907"/>
      <c r="O142" s="907"/>
      <c r="P142" s="907"/>
      <c r="Q142" s="907"/>
      <c r="R142" s="907"/>
      <c r="S142" s="907"/>
      <c r="T142" s="907"/>
      <c r="U142" s="907"/>
      <c r="V142" s="907"/>
      <c r="W142" s="907"/>
      <c r="X142" s="907"/>
      <c r="Y142" s="907"/>
      <c r="Z142" s="907"/>
      <c r="AA142" s="907"/>
      <c r="AB142" s="907"/>
      <c r="AC142" s="907"/>
      <c r="AD142" s="907"/>
    </row>
    <row r="143" spans="1:30" s="905" customFormat="1" x14ac:dyDescent="0.25">
      <c r="A143" s="907"/>
      <c r="B143" s="907"/>
      <c r="C143" s="907"/>
      <c r="D143" s="907"/>
      <c r="E143" s="907"/>
      <c r="F143" s="907"/>
      <c r="G143" s="907"/>
      <c r="H143" s="907"/>
      <c r="I143" s="907"/>
      <c r="J143" s="907"/>
      <c r="K143" s="907"/>
      <c r="L143" s="907"/>
      <c r="M143" s="907"/>
      <c r="N143" s="907"/>
      <c r="O143" s="907"/>
      <c r="P143" s="907"/>
      <c r="Q143" s="907"/>
      <c r="R143" s="907"/>
      <c r="S143" s="907"/>
      <c r="T143" s="907"/>
      <c r="U143" s="907"/>
      <c r="V143" s="907"/>
      <c r="W143" s="907"/>
      <c r="X143" s="907"/>
      <c r="Y143" s="907"/>
      <c r="Z143" s="907"/>
      <c r="AA143" s="907"/>
      <c r="AB143" s="907"/>
      <c r="AC143" s="907"/>
      <c r="AD143" s="907"/>
    </row>
    <row r="144" spans="1:30" s="905" customFormat="1" x14ac:dyDescent="0.25">
      <c r="A144" s="907"/>
      <c r="B144" s="907"/>
      <c r="C144" s="907"/>
      <c r="D144" s="907"/>
      <c r="E144" s="907"/>
      <c r="F144" s="907"/>
      <c r="G144" s="907"/>
      <c r="H144" s="907"/>
      <c r="I144" s="907"/>
      <c r="J144" s="907"/>
      <c r="K144" s="907"/>
      <c r="L144" s="907"/>
      <c r="M144" s="907"/>
      <c r="N144" s="907"/>
      <c r="O144" s="907"/>
      <c r="P144" s="907"/>
      <c r="Q144" s="907"/>
      <c r="R144" s="907"/>
      <c r="S144" s="907"/>
      <c r="T144" s="907"/>
      <c r="U144" s="907"/>
      <c r="V144" s="907"/>
      <c r="W144" s="907"/>
      <c r="X144" s="907"/>
      <c r="Y144" s="907"/>
      <c r="Z144" s="907"/>
      <c r="AA144" s="907"/>
      <c r="AB144" s="907"/>
      <c r="AC144" s="907"/>
      <c r="AD144" s="907"/>
    </row>
    <row r="145" spans="1:30" s="905" customFormat="1" x14ac:dyDescent="0.25">
      <c r="A145" s="907"/>
      <c r="B145" s="907"/>
      <c r="C145" s="907"/>
      <c r="D145" s="907"/>
      <c r="E145" s="907"/>
      <c r="F145" s="907"/>
      <c r="G145" s="907"/>
      <c r="H145" s="907"/>
      <c r="I145" s="907"/>
      <c r="J145" s="907"/>
      <c r="K145" s="907"/>
      <c r="L145" s="907"/>
      <c r="M145" s="907"/>
      <c r="N145" s="907"/>
      <c r="O145" s="907"/>
      <c r="P145" s="907"/>
      <c r="Q145" s="907"/>
      <c r="R145" s="907"/>
      <c r="S145" s="907"/>
      <c r="T145" s="907"/>
      <c r="U145" s="907"/>
      <c r="V145" s="907"/>
      <c r="W145" s="907"/>
      <c r="X145" s="907"/>
      <c r="Y145" s="907"/>
      <c r="Z145" s="907"/>
      <c r="AA145" s="907"/>
      <c r="AB145" s="907"/>
      <c r="AC145" s="907"/>
      <c r="AD145" s="907"/>
    </row>
    <row r="146" spans="1:30" s="905" customFormat="1" x14ac:dyDescent="0.25">
      <c r="A146" s="907"/>
      <c r="B146" s="907"/>
      <c r="C146" s="907"/>
      <c r="D146" s="907"/>
      <c r="E146" s="907"/>
      <c r="F146" s="907"/>
      <c r="G146" s="907"/>
      <c r="H146" s="907"/>
      <c r="I146" s="907"/>
      <c r="J146" s="907"/>
      <c r="K146" s="907"/>
      <c r="L146" s="907"/>
      <c r="M146" s="907"/>
      <c r="N146" s="907"/>
      <c r="O146" s="907"/>
      <c r="P146" s="907"/>
      <c r="Q146" s="907"/>
      <c r="R146" s="907"/>
      <c r="S146" s="907"/>
      <c r="T146" s="907"/>
      <c r="U146" s="907"/>
      <c r="V146" s="907"/>
      <c r="W146" s="907"/>
      <c r="X146" s="907"/>
      <c r="Y146" s="907"/>
      <c r="Z146" s="907"/>
      <c r="AA146" s="907"/>
      <c r="AB146" s="907"/>
      <c r="AC146" s="907"/>
      <c r="AD146" s="907"/>
    </row>
    <row r="147" spans="1:30" s="905" customFormat="1" x14ac:dyDescent="0.25">
      <c r="A147" s="907"/>
      <c r="B147" s="907"/>
      <c r="C147" s="907"/>
      <c r="D147" s="907"/>
      <c r="E147" s="907"/>
      <c r="F147" s="907"/>
      <c r="G147" s="907"/>
      <c r="H147" s="907"/>
      <c r="I147" s="907"/>
      <c r="J147" s="907"/>
      <c r="K147" s="907"/>
      <c r="L147" s="907"/>
      <c r="M147" s="907"/>
      <c r="N147" s="907"/>
      <c r="O147" s="907"/>
      <c r="P147" s="907"/>
      <c r="Q147" s="907"/>
      <c r="R147" s="907"/>
      <c r="S147" s="907"/>
      <c r="T147" s="907"/>
      <c r="U147" s="907"/>
      <c r="V147" s="907"/>
      <c r="W147" s="907"/>
      <c r="X147" s="907"/>
      <c r="Y147" s="907"/>
      <c r="Z147" s="907"/>
      <c r="AA147" s="907"/>
      <c r="AB147" s="907"/>
      <c r="AC147" s="907"/>
      <c r="AD147" s="907"/>
    </row>
    <row r="148" spans="1:30" s="905" customFormat="1" x14ac:dyDescent="0.25">
      <c r="A148" s="907"/>
      <c r="B148" s="907"/>
      <c r="C148" s="907"/>
      <c r="D148" s="907"/>
      <c r="E148" s="907"/>
      <c r="F148" s="907"/>
      <c r="G148" s="907"/>
      <c r="H148" s="907"/>
      <c r="I148" s="907"/>
      <c r="J148" s="907"/>
      <c r="K148" s="907"/>
      <c r="L148" s="907"/>
      <c r="M148" s="907"/>
      <c r="N148" s="907"/>
      <c r="O148" s="907"/>
      <c r="P148" s="907"/>
      <c r="Q148" s="907"/>
      <c r="R148" s="907"/>
      <c r="S148" s="907"/>
      <c r="T148" s="907"/>
      <c r="U148" s="907"/>
      <c r="V148" s="907"/>
      <c r="W148" s="907"/>
      <c r="X148" s="907"/>
      <c r="Y148" s="907"/>
      <c r="Z148" s="907"/>
      <c r="AA148" s="907"/>
      <c r="AB148" s="907"/>
      <c r="AC148" s="907"/>
      <c r="AD148" s="907"/>
    </row>
    <row r="149" spans="1:30" s="905" customFormat="1" x14ac:dyDescent="0.25">
      <c r="A149" s="907"/>
      <c r="B149" s="907"/>
      <c r="C149" s="907"/>
      <c r="D149" s="907"/>
      <c r="E149" s="907"/>
      <c r="F149" s="907"/>
      <c r="G149" s="907"/>
      <c r="H149" s="907"/>
      <c r="I149" s="907"/>
      <c r="J149" s="907"/>
      <c r="K149" s="907"/>
      <c r="L149" s="907"/>
      <c r="M149" s="907"/>
      <c r="N149" s="907"/>
      <c r="O149" s="907"/>
      <c r="P149" s="907"/>
      <c r="Q149" s="907"/>
      <c r="R149" s="907"/>
      <c r="S149" s="907"/>
      <c r="T149" s="907"/>
      <c r="U149" s="907"/>
      <c r="V149" s="907"/>
      <c r="W149" s="907"/>
      <c r="X149" s="907"/>
      <c r="Y149" s="907"/>
      <c r="Z149" s="907"/>
      <c r="AA149" s="907"/>
      <c r="AB149" s="907"/>
      <c r="AC149" s="907"/>
      <c r="AD149" s="907"/>
    </row>
    <row r="150" spans="1:30" s="905" customFormat="1" x14ac:dyDescent="0.25">
      <c r="A150" s="907"/>
      <c r="B150" s="907"/>
      <c r="C150" s="907"/>
      <c r="D150" s="907"/>
      <c r="E150" s="907"/>
      <c r="F150" s="907"/>
      <c r="G150" s="907"/>
      <c r="H150" s="907"/>
      <c r="I150" s="907"/>
      <c r="J150" s="907"/>
      <c r="K150" s="907"/>
      <c r="L150" s="907"/>
      <c r="M150" s="907"/>
      <c r="N150" s="907"/>
      <c r="O150" s="907"/>
      <c r="P150" s="907"/>
      <c r="Q150" s="907"/>
      <c r="R150" s="907"/>
      <c r="S150" s="907"/>
      <c r="T150" s="907"/>
      <c r="U150" s="907"/>
      <c r="V150" s="907"/>
      <c r="W150" s="907"/>
      <c r="X150" s="907"/>
      <c r="Y150" s="907"/>
      <c r="Z150" s="907"/>
      <c r="AA150" s="907"/>
      <c r="AB150" s="907"/>
      <c r="AC150" s="907"/>
      <c r="AD150" s="907"/>
    </row>
    <row r="151" spans="1:30" s="905" customFormat="1" x14ac:dyDescent="0.25">
      <c r="A151" s="907"/>
      <c r="B151" s="907"/>
      <c r="C151" s="907"/>
      <c r="D151" s="907"/>
      <c r="E151" s="907"/>
      <c r="F151" s="907"/>
      <c r="G151" s="907"/>
      <c r="H151" s="907"/>
      <c r="I151" s="907"/>
      <c r="J151" s="907"/>
      <c r="K151" s="907"/>
      <c r="L151" s="907"/>
      <c r="M151" s="907"/>
      <c r="N151" s="907"/>
      <c r="O151" s="907"/>
      <c r="P151" s="907"/>
      <c r="Q151" s="907"/>
      <c r="R151" s="907"/>
      <c r="S151" s="907"/>
      <c r="T151" s="907"/>
      <c r="U151" s="907"/>
      <c r="V151" s="907"/>
      <c r="W151" s="907"/>
      <c r="X151" s="907"/>
      <c r="Y151" s="907"/>
      <c r="Z151" s="907"/>
      <c r="AA151" s="907"/>
      <c r="AB151" s="907"/>
      <c r="AC151" s="907"/>
      <c r="AD151" s="907"/>
    </row>
    <row r="152" spans="1:30" s="905" customFormat="1" x14ac:dyDescent="0.25">
      <c r="A152" s="907"/>
      <c r="B152" s="907"/>
      <c r="C152" s="907"/>
      <c r="D152" s="907"/>
      <c r="E152" s="907"/>
      <c r="F152" s="907"/>
      <c r="G152" s="907"/>
      <c r="H152" s="907"/>
      <c r="I152" s="907"/>
      <c r="J152" s="907"/>
      <c r="K152" s="907"/>
      <c r="L152" s="907"/>
      <c r="M152" s="907"/>
      <c r="N152" s="907"/>
      <c r="O152" s="907"/>
      <c r="P152" s="907"/>
      <c r="Q152" s="907"/>
      <c r="R152" s="907"/>
      <c r="S152" s="907"/>
      <c r="T152" s="907"/>
      <c r="U152" s="907"/>
      <c r="V152" s="907"/>
      <c r="W152" s="907"/>
      <c r="X152" s="907"/>
      <c r="Y152" s="907"/>
      <c r="Z152" s="907"/>
      <c r="AA152" s="907"/>
      <c r="AB152" s="907"/>
      <c r="AC152" s="907"/>
      <c r="AD152" s="907"/>
    </row>
    <row r="153" spans="1:30" s="905" customFormat="1" x14ac:dyDescent="0.25">
      <c r="A153" s="907"/>
      <c r="B153" s="907"/>
      <c r="C153" s="907"/>
      <c r="D153" s="907"/>
      <c r="E153" s="907"/>
      <c r="F153" s="907"/>
      <c r="G153" s="907"/>
      <c r="H153" s="907"/>
      <c r="I153" s="907"/>
      <c r="J153" s="907"/>
      <c r="K153" s="907"/>
      <c r="L153" s="907"/>
      <c r="M153" s="907"/>
      <c r="N153" s="907"/>
      <c r="O153" s="907"/>
      <c r="P153" s="907"/>
      <c r="Q153" s="907"/>
      <c r="R153" s="907"/>
      <c r="S153" s="907"/>
      <c r="T153" s="907"/>
      <c r="U153" s="907"/>
      <c r="V153" s="907"/>
      <c r="W153" s="907"/>
      <c r="X153" s="907"/>
      <c r="Y153" s="907"/>
      <c r="Z153" s="907"/>
      <c r="AA153" s="907"/>
      <c r="AB153" s="907"/>
      <c r="AC153" s="907"/>
      <c r="AD153" s="907"/>
    </row>
    <row r="154" spans="1:30" s="905" customFormat="1" x14ac:dyDescent="0.25">
      <c r="A154" s="907"/>
      <c r="B154" s="907"/>
      <c r="C154" s="907"/>
      <c r="D154" s="907"/>
      <c r="E154" s="907"/>
      <c r="F154" s="907"/>
      <c r="G154" s="907"/>
      <c r="H154" s="907"/>
      <c r="I154" s="907"/>
      <c r="J154" s="907"/>
      <c r="K154" s="907"/>
      <c r="L154" s="907"/>
      <c r="M154" s="907"/>
      <c r="N154" s="907"/>
      <c r="O154" s="907"/>
      <c r="P154" s="907"/>
      <c r="Q154" s="907"/>
      <c r="R154" s="907"/>
      <c r="S154" s="907"/>
      <c r="T154" s="907"/>
      <c r="U154" s="907"/>
      <c r="V154" s="907"/>
      <c r="W154" s="907"/>
      <c r="X154" s="907"/>
      <c r="Y154" s="907"/>
      <c r="Z154" s="907"/>
      <c r="AA154" s="907"/>
      <c r="AB154" s="907"/>
      <c r="AC154" s="907"/>
      <c r="AD154" s="907"/>
    </row>
    <row r="155" spans="1:30" s="905" customFormat="1" x14ac:dyDescent="0.25">
      <c r="A155" s="907"/>
      <c r="B155" s="907"/>
      <c r="C155" s="907"/>
      <c r="D155" s="907"/>
      <c r="E155" s="907"/>
      <c r="F155" s="907"/>
      <c r="G155" s="907"/>
      <c r="H155" s="907"/>
      <c r="I155" s="907"/>
      <c r="J155" s="907"/>
      <c r="K155" s="907"/>
      <c r="L155" s="907"/>
      <c r="M155" s="907"/>
      <c r="N155" s="907"/>
      <c r="O155" s="907"/>
      <c r="P155" s="907"/>
      <c r="Q155" s="907"/>
      <c r="R155" s="907"/>
      <c r="S155" s="907"/>
      <c r="T155" s="907"/>
      <c r="U155" s="907"/>
      <c r="V155" s="907"/>
      <c r="W155" s="907"/>
      <c r="X155" s="907"/>
      <c r="Y155" s="907"/>
      <c r="Z155" s="907"/>
      <c r="AA155" s="907"/>
      <c r="AB155" s="907"/>
      <c r="AC155" s="907"/>
      <c r="AD155" s="907"/>
    </row>
    <row r="156" spans="1:30" s="905" customFormat="1" x14ac:dyDescent="0.25">
      <c r="A156" s="907"/>
      <c r="B156" s="907"/>
      <c r="C156" s="907"/>
      <c r="D156" s="907"/>
      <c r="E156" s="907"/>
      <c r="F156" s="907"/>
      <c r="G156" s="907"/>
      <c r="H156" s="907"/>
      <c r="I156" s="907"/>
      <c r="J156" s="907"/>
      <c r="K156" s="907"/>
      <c r="L156" s="907"/>
      <c r="M156" s="907"/>
      <c r="N156" s="907"/>
      <c r="O156" s="907"/>
      <c r="P156" s="907"/>
      <c r="Q156" s="907"/>
      <c r="R156" s="907"/>
      <c r="S156" s="907"/>
      <c r="T156" s="907"/>
      <c r="U156" s="907"/>
      <c r="V156" s="907"/>
      <c r="W156" s="907"/>
      <c r="X156" s="907"/>
      <c r="Y156" s="907"/>
      <c r="Z156" s="907"/>
      <c r="AA156" s="907"/>
      <c r="AB156" s="907"/>
      <c r="AC156" s="907"/>
      <c r="AD156" s="907"/>
    </row>
    <row r="157" spans="1:30" s="905" customFormat="1" x14ac:dyDescent="0.25">
      <c r="A157" s="907"/>
      <c r="B157" s="907"/>
      <c r="C157" s="907"/>
      <c r="D157" s="907"/>
      <c r="E157" s="907"/>
      <c r="F157" s="907"/>
      <c r="G157" s="907"/>
      <c r="H157" s="907"/>
      <c r="I157" s="907"/>
      <c r="J157" s="907"/>
      <c r="K157" s="907"/>
      <c r="L157" s="907"/>
      <c r="M157" s="907"/>
      <c r="N157" s="907"/>
      <c r="O157" s="907"/>
      <c r="P157" s="907"/>
      <c r="Q157" s="907"/>
      <c r="R157" s="907"/>
      <c r="S157" s="907"/>
      <c r="T157" s="907"/>
      <c r="U157" s="907"/>
      <c r="V157" s="907"/>
      <c r="W157" s="907"/>
      <c r="X157" s="907"/>
      <c r="Y157" s="907"/>
      <c r="Z157" s="907"/>
      <c r="AA157" s="907"/>
      <c r="AB157" s="907"/>
      <c r="AC157" s="907"/>
      <c r="AD157" s="907"/>
    </row>
    <row r="158" spans="1:30" s="905" customFormat="1" x14ac:dyDescent="0.25">
      <c r="A158" s="907"/>
      <c r="B158" s="907"/>
      <c r="C158" s="907"/>
      <c r="D158" s="907"/>
      <c r="E158" s="907"/>
      <c r="F158" s="907"/>
      <c r="G158" s="907"/>
      <c r="H158" s="907"/>
      <c r="I158" s="907"/>
      <c r="J158" s="907"/>
      <c r="K158" s="907"/>
      <c r="L158" s="907"/>
      <c r="M158" s="907"/>
      <c r="N158" s="907"/>
      <c r="O158" s="907"/>
      <c r="P158" s="907"/>
      <c r="Q158" s="907"/>
      <c r="R158" s="907"/>
      <c r="S158" s="907"/>
      <c r="T158" s="907"/>
      <c r="U158" s="907"/>
      <c r="V158" s="907"/>
      <c r="W158" s="907"/>
      <c r="X158" s="907"/>
      <c r="Y158" s="907"/>
      <c r="Z158" s="907"/>
      <c r="AA158" s="907"/>
      <c r="AB158" s="907"/>
      <c r="AC158" s="907"/>
      <c r="AD158" s="907"/>
    </row>
    <row r="159" spans="1:30" s="905" customFormat="1" x14ac:dyDescent="0.25">
      <c r="A159" s="907"/>
      <c r="B159" s="907"/>
      <c r="C159" s="907"/>
      <c r="D159" s="907"/>
      <c r="E159" s="907"/>
      <c r="F159" s="907"/>
      <c r="G159" s="907"/>
      <c r="H159" s="907"/>
      <c r="I159" s="907"/>
      <c r="J159" s="907"/>
      <c r="K159" s="907"/>
      <c r="L159" s="907"/>
      <c r="M159" s="907"/>
      <c r="N159" s="907"/>
      <c r="O159" s="907"/>
      <c r="P159" s="907"/>
      <c r="Q159" s="907"/>
      <c r="R159" s="907"/>
      <c r="S159" s="907"/>
      <c r="T159" s="907"/>
      <c r="U159" s="907"/>
      <c r="V159" s="907"/>
      <c r="W159" s="907"/>
      <c r="X159" s="907"/>
      <c r="Y159" s="907"/>
      <c r="Z159" s="907"/>
      <c r="AA159" s="907"/>
      <c r="AB159" s="907"/>
      <c r="AC159" s="907"/>
      <c r="AD159" s="907"/>
    </row>
    <row r="160" spans="1:30" s="905" customFormat="1" x14ac:dyDescent="0.25">
      <c r="A160" s="907"/>
      <c r="B160" s="907"/>
      <c r="C160" s="907"/>
      <c r="D160" s="907"/>
      <c r="E160" s="907"/>
      <c r="F160" s="907"/>
      <c r="G160" s="907"/>
      <c r="H160" s="907"/>
      <c r="I160" s="907"/>
      <c r="J160" s="907"/>
      <c r="K160" s="907"/>
      <c r="L160" s="907"/>
      <c r="M160" s="907"/>
      <c r="N160" s="907"/>
      <c r="O160" s="907"/>
      <c r="P160" s="907"/>
      <c r="Q160" s="907"/>
      <c r="R160" s="907"/>
      <c r="S160" s="907"/>
      <c r="T160" s="907"/>
      <c r="U160" s="907"/>
      <c r="V160" s="907"/>
      <c r="W160" s="907"/>
      <c r="X160" s="907"/>
      <c r="Y160" s="907"/>
      <c r="Z160" s="907"/>
      <c r="AA160" s="907"/>
      <c r="AB160" s="907"/>
      <c r="AC160" s="907"/>
      <c r="AD160" s="907"/>
    </row>
    <row r="161" spans="1:30" s="905" customFormat="1" x14ac:dyDescent="0.25">
      <c r="A161" s="907"/>
      <c r="B161" s="907"/>
      <c r="C161" s="907"/>
      <c r="D161" s="907"/>
      <c r="E161" s="907"/>
      <c r="F161" s="907"/>
      <c r="G161" s="907"/>
      <c r="H161" s="907"/>
      <c r="I161" s="907"/>
      <c r="J161" s="907"/>
      <c r="K161" s="907"/>
      <c r="L161" s="907"/>
      <c r="M161" s="907"/>
      <c r="N161" s="907"/>
      <c r="O161" s="907"/>
      <c r="P161" s="907"/>
      <c r="Q161" s="907"/>
      <c r="R161" s="907"/>
      <c r="S161" s="907"/>
      <c r="T161" s="907"/>
      <c r="U161" s="907"/>
      <c r="V161" s="907"/>
      <c r="W161" s="907"/>
      <c r="X161" s="907"/>
      <c r="Y161" s="907"/>
      <c r="Z161" s="907"/>
      <c r="AA161" s="907"/>
      <c r="AB161" s="907"/>
      <c r="AC161" s="907"/>
      <c r="AD161" s="907"/>
    </row>
    <row r="162" spans="1:30" s="905" customFormat="1" x14ac:dyDescent="0.25">
      <c r="A162" s="907"/>
      <c r="B162" s="907"/>
      <c r="C162" s="907"/>
      <c r="D162" s="907"/>
      <c r="E162" s="907"/>
      <c r="F162" s="907"/>
      <c r="G162" s="907"/>
      <c r="H162" s="907"/>
      <c r="I162" s="907"/>
      <c r="J162" s="907"/>
      <c r="K162" s="907"/>
      <c r="L162" s="907"/>
      <c r="M162" s="907"/>
      <c r="N162" s="907"/>
      <c r="O162" s="907"/>
      <c r="P162" s="907"/>
      <c r="Q162" s="907"/>
      <c r="R162" s="907"/>
      <c r="S162" s="907"/>
      <c r="T162" s="907"/>
      <c r="U162" s="907"/>
      <c r="V162" s="907"/>
      <c r="W162" s="907"/>
      <c r="X162" s="907"/>
      <c r="Y162" s="907"/>
      <c r="Z162" s="907"/>
      <c r="AA162" s="907"/>
      <c r="AB162" s="907"/>
      <c r="AC162" s="907"/>
      <c r="AD162" s="907"/>
    </row>
    <row r="163" spans="1:30" s="905" customFormat="1" x14ac:dyDescent="0.25">
      <c r="A163" s="907"/>
      <c r="B163" s="907"/>
      <c r="C163" s="907"/>
      <c r="D163" s="907"/>
      <c r="E163" s="907"/>
      <c r="F163" s="907"/>
      <c r="G163" s="907"/>
      <c r="H163" s="907"/>
      <c r="I163" s="907"/>
      <c r="J163" s="907"/>
      <c r="K163" s="907"/>
      <c r="L163" s="907"/>
      <c r="M163" s="907"/>
      <c r="N163" s="907"/>
      <c r="O163" s="907"/>
      <c r="P163" s="907"/>
      <c r="Q163" s="907"/>
      <c r="R163" s="907"/>
      <c r="S163" s="907"/>
      <c r="T163" s="907"/>
      <c r="U163" s="907"/>
      <c r="V163" s="907"/>
      <c r="W163" s="907"/>
      <c r="X163" s="907"/>
      <c r="Y163" s="907"/>
      <c r="Z163" s="907"/>
      <c r="AA163" s="907"/>
      <c r="AB163" s="907"/>
      <c r="AC163" s="907"/>
      <c r="AD163" s="907"/>
    </row>
    <row r="164" spans="1:30" x14ac:dyDescent="0.25">
      <c r="A164" s="887"/>
      <c r="B164" s="887"/>
      <c r="C164" s="887"/>
      <c r="D164" s="887"/>
      <c r="E164" s="887"/>
      <c r="F164" s="887"/>
      <c r="G164" s="887"/>
      <c r="H164" s="887"/>
      <c r="I164" s="887"/>
      <c r="J164" s="907"/>
      <c r="K164" s="907"/>
      <c r="L164" s="907"/>
      <c r="M164" s="907"/>
      <c r="N164" s="907"/>
      <c r="O164" s="907"/>
      <c r="P164" s="907"/>
      <c r="Q164" s="907"/>
      <c r="R164" s="907"/>
      <c r="S164" s="907"/>
      <c r="T164" s="907"/>
      <c r="U164" s="907"/>
      <c r="V164" s="907"/>
      <c r="W164" s="907"/>
      <c r="X164" s="907"/>
      <c r="Y164" s="907"/>
      <c r="Z164" s="907"/>
      <c r="AA164" s="907"/>
      <c r="AB164" s="907"/>
      <c r="AC164" s="907"/>
      <c r="AD164" s="907"/>
    </row>
    <row r="165" spans="1:30" x14ac:dyDescent="0.25">
      <c r="A165" s="887"/>
      <c r="B165" s="887"/>
      <c r="C165" s="887"/>
      <c r="D165" s="887"/>
      <c r="E165" s="887"/>
      <c r="F165" s="887"/>
      <c r="G165" s="887"/>
      <c r="H165" s="887"/>
      <c r="I165" s="887"/>
      <c r="J165" s="907"/>
      <c r="K165" s="907"/>
      <c r="L165" s="907"/>
      <c r="M165" s="907"/>
      <c r="N165" s="907"/>
      <c r="O165" s="907"/>
      <c r="P165" s="907"/>
      <c r="Q165" s="907"/>
      <c r="R165" s="907"/>
      <c r="S165" s="907"/>
      <c r="T165" s="907"/>
      <c r="U165" s="907"/>
      <c r="V165" s="907"/>
      <c r="W165" s="907"/>
      <c r="X165" s="907"/>
      <c r="Y165" s="907"/>
      <c r="Z165" s="907"/>
      <c r="AA165" s="907"/>
      <c r="AB165" s="907"/>
      <c r="AC165" s="907"/>
      <c r="AD165" s="907"/>
    </row>
    <row r="166" spans="1:30" x14ac:dyDescent="0.25">
      <c r="A166" s="887"/>
      <c r="B166" s="887"/>
      <c r="C166" s="887"/>
      <c r="D166" s="887"/>
      <c r="E166" s="887"/>
      <c r="F166" s="887"/>
      <c r="G166" s="887"/>
      <c r="H166" s="887"/>
      <c r="I166" s="887"/>
      <c r="J166" s="907"/>
      <c r="K166" s="907"/>
      <c r="L166" s="907"/>
      <c r="M166" s="907"/>
      <c r="N166" s="907"/>
      <c r="O166" s="907"/>
      <c r="P166" s="907"/>
      <c r="Q166" s="907"/>
      <c r="R166" s="907"/>
      <c r="S166" s="907"/>
      <c r="T166" s="907"/>
      <c r="U166" s="907"/>
      <c r="V166" s="907"/>
      <c r="W166" s="907"/>
      <c r="X166" s="907"/>
      <c r="Y166" s="907"/>
      <c r="Z166" s="907"/>
      <c r="AA166" s="907"/>
      <c r="AB166" s="907"/>
      <c r="AC166" s="907"/>
      <c r="AD166" s="907"/>
    </row>
    <row r="167" spans="1:30" x14ac:dyDescent="0.25">
      <c r="A167" s="887"/>
      <c r="B167" s="887"/>
      <c r="C167" s="887"/>
      <c r="D167" s="887"/>
      <c r="E167" s="887"/>
      <c r="F167" s="887"/>
      <c r="G167" s="887"/>
      <c r="H167" s="887"/>
      <c r="I167" s="887"/>
      <c r="J167" s="907"/>
      <c r="K167" s="907"/>
      <c r="L167" s="907"/>
      <c r="M167" s="907"/>
      <c r="N167" s="907"/>
      <c r="O167" s="907"/>
      <c r="P167" s="907"/>
      <c r="Q167" s="907"/>
      <c r="R167" s="907"/>
      <c r="S167" s="907"/>
      <c r="T167" s="907"/>
      <c r="U167" s="907"/>
      <c r="V167" s="907"/>
      <c r="W167" s="907"/>
      <c r="X167" s="907"/>
      <c r="Y167" s="907"/>
      <c r="Z167" s="907"/>
      <c r="AA167" s="907"/>
      <c r="AB167" s="907"/>
      <c r="AC167" s="907"/>
      <c r="AD167" s="907"/>
    </row>
    <row r="168" spans="1:30" x14ac:dyDescent="0.25">
      <c r="A168" s="887"/>
      <c r="B168" s="887"/>
      <c r="C168" s="887"/>
      <c r="D168" s="887"/>
      <c r="E168" s="887"/>
      <c r="F168" s="887"/>
      <c r="G168" s="887"/>
      <c r="H168" s="887"/>
      <c r="I168" s="887"/>
      <c r="J168" s="907"/>
      <c r="K168" s="907"/>
      <c r="L168" s="907"/>
      <c r="M168" s="907"/>
      <c r="N168" s="907"/>
      <c r="O168" s="907"/>
      <c r="P168" s="907"/>
      <c r="Q168" s="907"/>
      <c r="R168" s="907"/>
      <c r="S168" s="907"/>
      <c r="T168" s="907"/>
      <c r="U168" s="907"/>
      <c r="V168" s="907"/>
      <c r="W168" s="907"/>
      <c r="X168" s="907"/>
      <c r="Y168" s="907"/>
      <c r="Z168" s="907"/>
      <c r="AA168" s="907"/>
      <c r="AB168" s="907"/>
      <c r="AC168" s="907"/>
      <c r="AD168" s="907"/>
    </row>
    <row r="169" spans="1:30" x14ac:dyDescent="0.25">
      <c r="A169" s="887"/>
      <c r="B169" s="887"/>
      <c r="C169" s="887"/>
      <c r="D169" s="887"/>
      <c r="E169" s="887"/>
      <c r="F169" s="887"/>
      <c r="G169" s="887"/>
      <c r="H169" s="887"/>
      <c r="I169" s="887"/>
      <c r="J169" s="907"/>
      <c r="K169" s="907"/>
      <c r="L169" s="907"/>
      <c r="M169" s="907"/>
      <c r="N169" s="907"/>
      <c r="O169" s="907"/>
      <c r="P169" s="907"/>
      <c r="Q169" s="907"/>
      <c r="R169" s="907"/>
      <c r="S169" s="907"/>
      <c r="T169" s="907"/>
      <c r="U169" s="907"/>
      <c r="V169" s="907"/>
      <c r="W169" s="907"/>
      <c r="X169" s="907"/>
      <c r="Y169" s="907"/>
      <c r="Z169" s="907"/>
      <c r="AA169" s="907"/>
      <c r="AB169" s="907"/>
      <c r="AC169" s="907"/>
      <c r="AD169" s="907"/>
    </row>
    <row r="170" spans="1:30" x14ac:dyDescent="0.25">
      <c r="A170" s="887"/>
      <c r="B170" s="887"/>
      <c r="C170" s="887"/>
      <c r="D170" s="887"/>
      <c r="E170" s="887"/>
      <c r="F170" s="887"/>
      <c r="G170" s="887"/>
      <c r="H170" s="887"/>
      <c r="I170" s="887"/>
      <c r="J170" s="907"/>
      <c r="K170" s="907"/>
      <c r="L170" s="907"/>
      <c r="M170" s="907"/>
      <c r="N170" s="907"/>
      <c r="O170" s="907"/>
      <c r="P170" s="907"/>
      <c r="Q170" s="907"/>
      <c r="R170" s="907"/>
      <c r="S170" s="907"/>
      <c r="T170" s="907"/>
      <c r="U170" s="907"/>
      <c r="V170" s="907"/>
      <c r="W170" s="907"/>
      <c r="X170" s="907"/>
      <c r="Y170" s="907"/>
      <c r="Z170" s="907"/>
      <c r="AA170" s="907"/>
      <c r="AB170" s="907"/>
      <c r="AC170" s="907"/>
      <c r="AD170" s="907"/>
    </row>
    <row r="171" spans="1:30" x14ac:dyDescent="0.25">
      <c r="A171" s="887"/>
      <c r="B171" s="887"/>
      <c r="C171" s="887"/>
      <c r="D171" s="887"/>
      <c r="E171" s="887"/>
      <c r="F171" s="887"/>
      <c r="G171" s="887"/>
      <c r="H171" s="887"/>
      <c r="I171" s="887"/>
      <c r="J171" s="907"/>
      <c r="K171" s="907"/>
      <c r="L171" s="907"/>
      <c r="M171" s="907"/>
      <c r="N171" s="907"/>
      <c r="O171" s="907"/>
      <c r="P171" s="907"/>
      <c r="Q171" s="907"/>
      <c r="R171" s="907"/>
      <c r="S171" s="907"/>
      <c r="T171" s="907"/>
      <c r="U171" s="907"/>
      <c r="V171" s="907"/>
      <c r="W171" s="907"/>
      <c r="X171" s="907"/>
      <c r="Y171" s="907"/>
      <c r="Z171" s="907"/>
      <c r="AA171" s="907"/>
      <c r="AB171" s="907"/>
      <c r="AC171" s="907"/>
      <c r="AD171" s="907"/>
    </row>
    <row r="172" spans="1:30" x14ac:dyDescent="0.25">
      <c r="A172" s="887"/>
      <c r="B172" s="887"/>
      <c r="C172" s="887"/>
      <c r="D172" s="887"/>
      <c r="E172" s="887"/>
      <c r="F172" s="887"/>
      <c r="G172" s="887"/>
      <c r="H172" s="887"/>
      <c r="I172" s="887"/>
      <c r="J172" s="907"/>
      <c r="K172" s="907"/>
      <c r="L172" s="907"/>
      <c r="M172" s="907"/>
      <c r="N172" s="907"/>
      <c r="O172" s="907"/>
      <c r="P172" s="907"/>
      <c r="Q172" s="907"/>
      <c r="R172" s="907"/>
      <c r="S172" s="907"/>
      <c r="T172" s="907"/>
      <c r="U172" s="907"/>
      <c r="V172" s="907"/>
      <c r="W172" s="907"/>
      <c r="X172" s="907"/>
      <c r="Y172" s="907"/>
      <c r="Z172" s="907"/>
      <c r="AA172" s="907"/>
      <c r="AB172" s="907"/>
      <c r="AC172" s="907"/>
      <c r="AD172" s="907"/>
    </row>
    <row r="173" spans="1:30" x14ac:dyDescent="0.25">
      <c r="A173" s="887"/>
      <c r="B173" s="887"/>
      <c r="C173" s="887"/>
      <c r="D173" s="887"/>
      <c r="E173" s="887"/>
      <c r="F173" s="887"/>
      <c r="G173" s="887"/>
      <c r="H173" s="887"/>
      <c r="I173" s="887"/>
      <c r="J173" s="907"/>
      <c r="K173" s="907"/>
      <c r="L173" s="907"/>
      <c r="M173" s="907"/>
      <c r="N173" s="907"/>
      <c r="O173" s="907"/>
      <c r="P173" s="907"/>
      <c r="Q173" s="907"/>
      <c r="R173" s="907"/>
      <c r="S173" s="907"/>
      <c r="T173" s="907"/>
      <c r="U173" s="907"/>
      <c r="V173" s="907"/>
      <c r="W173" s="907"/>
      <c r="X173" s="907"/>
      <c r="Y173" s="907"/>
      <c r="Z173" s="907"/>
      <c r="AA173" s="907"/>
      <c r="AB173" s="907"/>
      <c r="AC173" s="907"/>
      <c r="AD173" s="907"/>
    </row>
    <row r="174" spans="1:30" x14ac:dyDescent="0.25">
      <c r="A174" s="887"/>
      <c r="B174" s="887"/>
      <c r="C174" s="887"/>
      <c r="D174" s="887"/>
      <c r="E174" s="887"/>
      <c r="F174" s="887"/>
      <c r="G174" s="887"/>
      <c r="H174" s="887"/>
      <c r="I174" s="887"/>
      <c r="J174" s="907"/>
      <c r="K174" s="907"/>
      <c r="L174" s="907"/>
      <c r="M174" s="907"/>
      <c r="N174" s="907"/>
      <c r="O174" s="907"/>
      <c r="P174" s="907"/>
      <c r="Q174" s="907"/>
      <c r="R174" s="907"/>
      <c r="S174" s="907"/>
      <c r="T174" s="907"/>
      <c r="U174" s="907"/>
      <c r="V174" s="907"/>
      <c r="W174" s="907"/>
      <c r="X174" s="907"/>
      <c r="Y174" s="907"/>
      <c r="Z174" s="907"/>
      <c r="AA174" s="907"/>
      <c r="AB174" s="907"/>
      <c r="AC174" s="907"/>
      <c r="AD174" s="907"/>
    </row>
    <row r="175" spans="1:30" x14ac:dyDescent="0.25">
      <c r="A175" s="887"/>
      <c r="B175" s="887"/>
      <c r="C175" s="887"/>
      <c r="D175" s="887"/>
      <c r="E175" s="887"/>
      <c r="F175" s="887"/>
      <c r="G175" s="887"/>
      <c r="H175" s="887"/>
      <c r="I175" s="887"/>
      <c r="J175" s="907"/>
      <c r="K175" s="907"/>
      <c r="L175" s="907"/>
      <c r="M175" s="907"/>
      <c r="N175" s="907"/>
      <c r="O175" s="907"/>
      <c r="P175" s="907"/>
      <c r="Q175" s="907"/>
      <c r="R175" s="907"/>
      <c r="S175" s="907"/>
      <c r="T175" s="907"/>
      <c r="U175" s="907"/>
      <c r="V175" s="907"/>
      <c r="W175" s="907"/>
      <c r="X175" s="907"/>
      <c r="Y175" s="907"/>
      <c r="Z175" s="907"/>
      <c r="AA175" s="907"/>
      <c r="AB175" s="907"/>
      <c r="AC175" s="907"/>
      <c r="AD175" s="907"/>
    </row>
    <row r="176" spans="1:30" x14ac:dyDescent="0.25">
      <c r="A176" s="887"/>
      <c r="B176" s="887"/>
      <c r="C176" s="887"/>
      <c r="D176" s="887"/>
      <c r="E176" s="887"/>
      <c r="F176" s="887"/>
      <c r="G176" s="887"/>
      <c r="H176" s="887"/>
      <c r="I176" s="887"/>
      <c r="J176" s="907"/>
      <c r="K176" s="907"/>
      <c r="L176" s="907"/>
      <c r="M176" s="907"/>
      <c r="N176" s="907"/>
      <c r="O176" s="907"/>
      <c r="P176" s="907"/>
      <c r="Q176" s="907"/>
      <c r="R176" s="907"/>
      <c r="S176" s="907"/>
      <c r="T176" s="907"/>
      <c r="U176" s="907"/>
      <c r="V176" s="907"/>
      <c r="W176" s="907"/>
      <c r="X176" s="907"/>
      <c r="Y176" s="907"/>
      <c r="Z176" s="907"/>
      <c r="AA176" s="907"/>
      <c r="AB176" s="907"/>
      <c r="AC176" s="907"/>
      <c r="AD176" s="907"/>
    </row>
    <row r="177" spans="1:30" x14ac:dyDescent="0.25">
      <c r="A177" s="887"/>
      <c r="B177" s="887"/>
      <c r="C177" s="887"/>
      <c r="D177" s="887"/>
      <c r="E177" s="887"/>
      <c r="F177" s="887"/>
      <c r="G177" s="887"/>
      <c r="H177" s="887"/>
      <c r="I177" s="887"/>
      <c r="J177" s="907"/>
      <c r="K177" s="907"/>
      <c r="L177" s="907"/>
      <c r="M177" s="907"/>
      <c r="N177" s="907"/>
      <c r="O177" s="907"/>
      <c r="P177" s="907"/>
      <c r="Q177" s="907"/>
      <c r="R177" s="907"/>
      <c r="S177" s="907"/>
      <c r="T177" s="907"/>
      <c r="U177" s="907"/>
      <c r="V177" s="907"/>
      <c r="W177" s="907"/>
      <c r="X177" s="907"/>
      <c r="Y177" s="907"/>
      <c r="Z177" s="907"/>
      <c r="AA177" s="907"/>
      <c r="AB177" s="907"/>
      <c r="AC177" s="907"/>
      <c r="AD177" s="907"/>
    </row>
    <row r="178" spans="1:30" x14ac:dyDescent="0.25">
      <c r="A178" s="887"/>
      <c r="B178" s="887"/>
      <c r="C178" s="887"/>
      <c r="D178" s="887"/>
      <c r="E178" s="887"/>
      <c r="F178" s="887"/>
      <c r="G178" s="887"/>
      <c r="H178" s="887"/>
      <c r="I178" s="887"/>
      <c r="J178" s="907"/>
      <c r="K178" s="907"/>
      <c r="L178" s="907"/>
      <c r="M178" s="907"/>
      <c r="N178" s="907"/>
      <c r="O178" s="907"/>
      <c r="P178" s="907"/>
      <c r="Q178" s="907"/>
      <c r="R178" s="907"/>
      <c r="S178" s="907"/>
      <c r="T178" s="907"/>
      <c r="U178" s="907"/>
      <c r="V178" s="907"/>
      <c r="W178" s="907"/>
      <c r="X178" s="907"/>
      <c r="Y178" s="907"/>
      <c r="Z178" s="907"/>
      <c r="AA178" s="907"/>
      <c r="AB178" s="907"/>
      <c r="AC178" s="907"/>
      <c r="AD178" s="907"/>
    </row>
    <row r="179" spans="1:30" x14ac:dyDescent="0.25">
      <c r="A179" s="887"/>
      <c r="B179" s="887"/>
      <c r="C179" s="887"/>
      <c r="D179" s="887"/>
      <c r="E179" s="887"/>
      <c r="F179" s="887"/>
      <c r="G179" s="887"/>
      <c r="H179" s="887"/>
      <c r="I179" s="887"/>
      <c r="J179" s="907"/>
      <c r="K179" s="907"/>
      <c r="L179" s="907"/>
      <c r="M179" s="907"/>
      <c r="N179" s="907"/>
      <c r="O179" s="907"/>
      <c r="P179" s="907"/>
      <c r="Q179" s="907"/>
      <c r="R179" s="907"/>
      <c r="S179" s="907"/>
      <c r="T179" s="907"/>
      <c r="U179" s="907"/>
      <c r="V179" s="907"/>
      <c r="W179" s="907"/>
      <c r="X179" s="907"/>
      <c r="Y179" s="907"/>
      <c r="Z179" s="907"/>
      <c r="AA179" s="907"/>
      <c r="AB179" s="907"/>
      <c r="AC179" s="907"/>
      <c r="AD179" s="907"/>
    </row>
    <row r="180" spans="1:30" x14ac:dyDescent="0.25">
      <c r="A180" s="887"/>
      <c r="B180" s="887"/>
      <c r="C180" s="887"/>
      <c r="D180" s="887"/>
      <c r="E180" s="887"/>
      <c r="F180" s="887"/>
      <c r="G180" s="887"/>
      <c r="H180" s="887"/>
      <c r="I180" s="887"/>
      <c r="J180" s="907"/>
      <c r="K180" s="907"/>
      <c r="L180" s="907"/>
      <c r="M180" s="907"/>
      <c r="N180" s="907"/>
      <c r="O180" s="907"/>
      <c r="P180" s="907"/>
      <c r="Q180" s="907"/>
      <c r="R180" s="907"/>
      <c r="S180" s="907"/>
      <c r="T180" s="907"/>
      <c r="U180" s="907"/>
      <c r="V180" s="907"/>
      <c r="W180" s="907"/>
      <c r="X180" s="907"/>
      <c r="Y180" s="907"/>
      <c r="Z180" s="907"/>
      <c r="AA180" s="907"/>
      <c r="AB180" s="907"/>
      <c r="AC180" s="907"/>
      <c r="AD180" s="907"/>
    </row>
    <row r="181" spans="1:30" x14ac:dyDescent="0.25">
      <c r="A181" s="887"/>
      <c r="B181" s="887"/>
      <c r="C181" s="887"/>
      <c r="D181" s="887"/>
      <c r="E181" s="887"/>
      <c r="F181" s="887"/>
      <c r="G181" s="887"/>
      <c r="H181" s="887"/>
      <c r="I181" s="887"/>
      <c r="J181" s="907"/>
      <c r="K181" s="907"/>
      <c r="L181" s="907"/>
      <c r="M181" s="907"/>
      <c r="N181" s="907"/>
      <c r="O181" s="907"/>
      <c r="P181" s="907"/>
      <c r="Q181" s="907"/>
      <c r="R181" s="907"/>
      <c r="S181" s="907"/>
      <c r="T181" s="907"/>
      <c r="U181" s="907"/>
      <c r="V181" s="907"/>
      <c r="W181" s="907"/>
      <c r="X181" s="907"/>
      <c r="Y181" s="907"/>
      <c r="Z181" s="907"/>
      <c r="AA181" s="907"/>
      <c r="AB181" s="907"/>
      <c r="AC181" s="907"/>
      <c r="AD181" s="907"/>
    </row>
    <row r="182" spans="1:30" x14ac:dyDescent="0.25">
      <c r="A182" s="887"/>
      <c r="B182" s="887"/>
      <c r="C182" s="887"/>
      <c r="D182" s="887"/>
      <c r="E182" s="887"/>
      <c r="F182" s="887"/>
      <c r="G182" s="887"/>
      <c r="H182" s="887"/>
      <c r="I182" s="887"/>
      <c r="J182" s="907"/>
      <c r="K182" s="907"/>
      <c r="L182" s="907"/>
      <c r="M182" s="907"/>
      <c r="N182" s="907"/>
      <c r="O182" s="907"/>
      <c r="P182" s="907"/>
      <c r="Q182" s="907"/>
      <c r="R182" s="907"/>
      <c r="S182" s="907"/>
      <c r="T182" s="907"/>
      <c r="U182" s="907"/>
      <c r="V182" s="907"/>
      <c r="W182" s="907"/>
      <c r="X182" s="907"/>
      <c r="Y182" s="907"/>
      <c r="Z182" s="907"/>
      <c r="AA182" s="907"/>
      <c r="AB182" s="907"/>
      <c r="AC182" s="907"/>
      <c r="AD182" s="907"/>
    </row>
    <row r="183" spans="1:30" x14ac:dyDescent="0.25">
      <c r="A183" s="887"/>
      <c r="B183" s="887"/>
      <c r="C183" s="887"/>
      <c r="D183" s="887"/>
      <c r="E183" s="887"/>
      <c r="F183" s="887"/>
      <c r="G183" s="887"/>
      <c r="H183" s="887"/>
      <c r="I183" s="887"/>
      <c r="J183" s="907"/>
      <c r="K183" s="907"/>
      <c r="L183" s="907"/>
      <c r="M183" s="907"/>
      <c r="N183" s="907"/>
      <c r="O183" s="907"/>
      <c r="P183" s="907"/>
      <c r="Q183" s="907"/>
      <c r="R183" s="907"/>
      <c r="S183" s="907"/>
      <c r="T183" s="907"/>
      <c r="U183" s="907"/>
      <c r="V183" s="907"/>
      <c r="W183" s="907"/>
      <c r="X183" s="907"/>
      <c r="Y183" s="907"/>
      <c r="Z183" s="907"/>
      <c r="AA183" s="907"/>
      <c r="AB183" s="907"/>
      <c r="AC183" s="907"/>
      <c r="AD183" s="907"/>
    </row>
    <row r="184" spans="1:30" x14ac:dyDescent="0.25">
      <c r="A184" s="887"/>
      <c r="B184" s="887"/>
      <c r="C184" s="887"/>
      <c r="D184" s="887"/>
      <c r="E184" s="887"/>
      <c r="F184" s="887"/>
      <c r="G184" s="887"/>
      <c r="H184" s="887"/>
      <c r="I184" s="887"/>
      <c r="J184" s="907"/>
      <c r="K184" s="907"/>
      <c r="L184" s="907"/>
      <c r="M184" s="907"/>
      <c r="N184" s="907"/>
      <c r="O184" s="907"/>
      <c r="P184" s="907"/>
      <c r="Q184" s="907"/>
      <c r="R184" s="907"/>
      <c r="S184" s="907"/>
      <c r="T184" s="907"/>
      <c r="U184" s="907"/>
      <c r="V184" s="907"/>
      <c r="W184" s="907"/>
      <c r="X184" s="907"/>
      <c r="Y184" s="907"/>
      <c r="Z184" s="907"/>
      <c r="AA184" s="907"/>
      <c r="AB184" s="907"/>
      <c r="AC184" s="907"/>
      <c r="AD184" s="907"/>
    </row>
    <row r="185" spans="1:30" x14ac:dyDescent="0.25">
      <c r="A185" s="887"/>
      <c r="B185" s="887"/>
      <c r="C185" s="887"/>
      <c r="D185" s="887"/>
      <c r="E185" s="887"/>
      <c r="F185" s="887"/>
      <c r="G185" s="887"/>
      <c r="H185" s="887"/>
      <c r="I185" s="887"/>
      <c r="J185" s="907"/>
      <c r="K185" s="907"/>
      <c r="L185" s="907"/>
      <c r="M185" s="907"/>
      <c r="N185" s="907"/>
      <c r="O185" s="907"/>
      <c r="P185" s="907"/>
      <c r="Q185" s="907"/>
      <c r="R185" s="907"/>
      <c r="S185" s="907"/>
      <c r="T185" s="907"/>
      <c r="U185" s="907"/>
      <c r="V185" s="907"/>
      <c r="W185" s="907"/>
      <c r="X185" s="907"/>
      <c r="Y185" s="907"/>
      <c r="Z185" s="907"/>
      <c r="AA185" s="907"/>
      <c r="AB185" s="907"/>
      <c r="AC185" s="907"/>
      <c r="AD185" s="907"/>
    </row>
    <row r="186" spans="1:30" x14ac:dyDescent="0.25">
      <c r="A186" s="887"/>
      <c r="B186" s="887"/>
      <c r="C186" s="887"/>
      <c r="D186" s="887"/>
      <c r="E186" s="887"/>
      <c r="F186" s="887"/>
      <c r="G186" s="887"/>
      <c r="H186" s="887"/>
      <c r="I186" s="887"/>
      <c r="J186" s="907"/>
      <c r="K186" s="907"/>
      <c r="L186" s="907"/>
      <c r="M186" s="907"/>
      <c r="N186" s="907"/>
      <c r="O186" s="907"/>
      <c r="P186" s="907"/>
      <c r="Q186" s="907"/>
      <c r="R186" s="907"/>
      <c r="S186" s="907"/>
      <c r="T186" s="907"/>
      <c r="U186" s="907"/>
      <c r="V186" s="907"/>
      <c r="W186" s="907"/>
      <c r="X186" s="907"/>
      <c r="Y186" s="907"/>
      <c r="Z186" s="907"/>
      <c r="AA186" s="907"/>
      <c r="AB186" s="907"/>
      <c r="AC186" s="907"/>
      <c r="AD186" s="907"/>
    </row>
    <row r="187" spans="1:30" x14ac:dyDescent="0.25">
      <c r="A187" s="887"/>
      <c r="B187" s="887"/>
      <c r="C187" s="887"/>
      <c r="D187" s="887"/>
      <c r="E187" s="887"/>
      <c r="F187" s="887"/>
      <c r="G187" s="887"/>
      <c r="H187" s="887"/>
      <c r="I187" s="887"/>
      <c r="J187" s="907"/>
      <c r="K187" s="907"/>
      <c r="L187" s="907"/>
      <c r="M187" s="907"/>
      <c r="N187" s="907"/>
      <c r="O187" s="907"/>
      <c r="P187" s="907"/>
      <c r="Q187" s="907"/>
      <c r="R187" s="907"/>
      <c r="S187" s="907"/>
      <c r="T187" s="907"/>
      <c r="U187" s="907"/>
      <c r="V187" s="907"/>
      <c r="W187" s="907"/>
      <c r="X187" s="907"/>
      <c r="Y187" s="907"/>
      <c r="Z187" s="907"/>
      <c r="AA187" s="907"/>
      <c r="AB187" s="907"/>
      <c r="AC187" s="907"/>
      <c r="AD187" s="907"/>
    </row>
    <row r="188" spans="1:30" x14ac:dyDescent="0.25">
      <c r="A188" s="887"/>
      <c r="B188" s="887"/>
      <c r="C188" s="887"/>
      <c r="D188" s="887"/>
      <c r="E188" s="887"/>
      <c r="F188" s="887"/>
      <c r="G188" s="887"/>
      <c r="H188" s="887"/>
      <c r="I188" s="887"/>
      <c r="J188" s="907"/>
      <c r="K188" s="907"/>
      <c r="L188" s="907"/>
      <c r="M188" s="907"/>
      <c r="N188" s="907"/>
      <c r="O188" s="907"/>
      <c r="P188" s="907"/>
      <c r="Q188" s="907"/>
      <c r="R188" s="907"/>
      <c r="S188" s="907"/>
      <c r="T188" s="907"/>
      <c r="U188" s="907"/>
      <c r="V188" s="907"/>
      <c r="W188" s="907"/>
      <c r="X188" s="907"/>
      <c r="Y188" s="907"/>
      <c r="Z188" s="907"/>
      <c r="AA188" s="907"/>
      <c r="AB188" s="907"/>
      <c r="AC188" s="907"/>
      <c r="AD188" s="907"/>
    </row>
    <row r="189" spans="1:30" x14ac:dyDescent="0.25">
      <c r="A189" s="887"/>
      <c r="B189" s="887"/>
      <c r="C189" s="887"/>
      <c r="D189" s="887"/>
      <c r="E189" s="887"/>
      <c r="F189" s="887"/>
      <c r="G189" s="887"/>
      <c r="H189" s="887"/>
      <c r="I189" s="887"/>
      <c r="J189" s="907"/>
      <c r="K189" s="907"/>
      <c r="L189" s="907"/>
      <c r="M189" s="907"/>
      <c r="N189" s="907"/>
      <c r="O189" s="907"/>
      <c r="P189" s="907"/>
      <c r="Q189" s="907"/>
      <c r="R189" s="907"/>
      <c r="S189" s="907"/>
      <c r="T189" s="907"/>
      <c r="U189" s="907"/>
      <c r="V189" s="907"/>
      <c r="W189" s="907"/>
      <c r="X189" s="907"/>
      <c r="Y189" s="907"/>
      <c r="Z189" s="907"/>
      <c r="AA189" s="907"/>
      <c r="AB189" s="907"/>
      <c r="AC189" s="907"/>
      <c r="AD189" s="907"/>
    </row>
    <row r="190" spans="1:30" x14ac:dyDescent="0.25">
      <c r="A190" s="887"/>
      <c r="B190" s="887"/>
      <c r="C190" s="887"/>
      <c r="D190" s="887"/>
      <c r="E190" s="887"/>
      <c r="F190" s="887"/>
      <c r="G190" s="887"/>
      <c r="H190" s="887"/>
      <c r="I190" s="887"/>
      <c r="J190" s="907"/>
      <c r="K190" s="907"/>
      <c r="L190" s="907"/>
      <c r="M190" s="907"/>
      <c r="N190" s="907"/>
      <c r="O190" s="907"/>
      <c r="P190" s="907"/>
      <c r="Q190" s="907"/>
      <c r="R190" s="907"/>
      <c r="S190" s="907"/>
      <c r="T190" s="907"/>
      <c r="U190" s="907"/>
      <c r="V190" s="907"/>
      <c r="W190" s="907"/>
      <c r="X190" s="907"/>
      <c r="Y190" s="907"/>
      <c r="Z190" s="907"/>
      <c r="AA190" s="907"/>
      <c r="AB190" s="907"/>
      <c r="AC190" s="907"/>
      <c r="AD190" s="907"/>
    </row>
    <row r="191" spans="1:30" x14ac:dyDescent="0.25">
      <c r="A191" s="887"/>
      <c r="B191" s="887"/>
      <c r="C191" s="887"/>
      <c r="D191" s="887"/>
      <c r="E191" s="887"/>
      <c r="F191" s="887"/>
      <c r="G191" s="887"/>
      <c r="H191" s="887"/>
      <c r="I191" s="887"/>
      <c r="J191" s="907"/>
      <c r="K191" s="907"/>
      <c r="L191" s="907"/>
      <c r="M191" s="907"/>
      <c r="N191" s="907"/>
      <c r="O191" s="907"/>
      <c r="P191" s="907"/>
      <c r="Q191" s="907"/>
      <c r="R191" s="907"/>
      <c r="S191" s="907"/>
      <c r="T191" s="907"/>
      <c r="U191" s="907"/>
      <c r="V191" s="907"/>
      <c r="W191" s="907"/>
      <c r="X191" s="907"/>
      <c r="Y191" s="907"/>
      <c r="Z191" s="907"/>
      <c r="AA191" s="907"/>
      <c r="AB191" s="907"/>
      <c r="AC191" s="907"/>
      <c r="AD191" s="907"/>
    </row>
    <row r="192" spans="1:30" x14ac:dyDescent="0.25">
      <c r="A192" s="887"/>
      <c r="B192" s="887"/>
      <c r="C192" s="887"/>
      <c r="D192" s="887"/>
      <c r="E192" s="887"/>
      <c r="F192" s="887"/>
      <c r="G192" s="887"/>
      <c r="H192" s="887"/>
      <c r="I192" s="887"/>
      <c r="J192" s="907"/>
      <c r="K192" s="907"/>
      <c r="L192" s="907"/>
      <c r="M192" s="907"/>
      <c r="N192" s="907"/>
      <c r="O192" s="907"/>
      <c r="P192" s="907"/>
      <c r="Q192" s="907"/>
      <c r="R192" s="907"/>
      <c r="S192" s="907"/>
      <c r="T192" s="907"/>
      <c r="U192" s="907"/>
      <c r="V192" s="907"/>
      <c r="W192" s="907"/>
      <c r="X192" s="907"/>
      <c r="Y192" s="907"/>
      <c r="Z192" s="907"/>
      <c r="AA192" s="907"/>
      <c r="AB192" s="907"/>
      <c r="AC192" s="907"/>
      <c r="AD192" s="907"/>
    </row>
    <row r="193" spans="1:30" x14ac:dyDescent="0.25">
      <c r="A193" s="887"/>
      <c r="B193" s="887"/>
      <c r="C193" s="887"/>
      <c r="D193" s="887"/>
      <c r="E193" s="887"/>
      <c r="F193" s="887"/>
      <c r="G193" s="887"/>
      <c r="H193" s="887"/>
      <c r="I193" s="887"/>
      <c r="J193" s="907"/>
      <c r="K193" s="907"/>
      <c r="L193" s="907"/>
      <c r="M193" s="907"/>
      <c r="N193" s="907"/>
      <c r="O193" s="907"/>
      <c r="P193" s="907"/>
      <c r="Q193" s="907"/>
      <c r="R193" s="907"/>
      <c r="S193" s="907"/>
      <c r="T193" s="907"/>
      <c r="U193" s="907"/>
      <c r="V193" s="907"/>
      <c r="W193" s="907"/>
      <c r="X193" s="907"/>
      <c r="Y193" s="907"/>
      <c r="Z193" s="907"/>
      <c r="AA193" s="907"/>
      <c r="AB193" s="907"/>
      <c r="AC193" s="907"/>
      <c r="AD193" s="907"/>
    </row>
    <row r="194" spans="1:30" x14ac:dyDescent="0.25">
      <c r="A194" s="887"/>
      <c r="B194" s="887"/>
      <c r="C194" s="887"/>
      <c r="D194" s="887"/>
      <c r="E194" s="887"/>
      <c r="F194" s="887"/>
      <c r="G194" s="887"/>
      <c r="H194" s="887"/>
      <c r="I194" s="887"/>
      <c r="J194" s="907"/>
      <c r="K194" s="907"/>
      <c r="L194" s="907"/>
      <c r="M194" s="907"/>
      <c r="N194" s="907"/>
      <c r="O194" s="907"/>
      <c r="P194" s="907"/>
      <c r="Q194" s="907"/>
      <c r="R194" s="907"/>
      <c r="S194" s="907"/>
      <c r="T194" s="907"/>
      <c r="U194" s="907"/>
      <c r="V194" s="907"/>
      <c r="W194" s="907"/>
      <c r="X194" s="907"/>
      <c r="Y194" s="907"/>
      <c r="Z194" s="907"/>
      <c r="AA194" s="907"/>
      <c r="AB194" s="907"/>
      <c r="AC194" s="907"/>
      <c r="AD194" s="907"/>
    </row>
    <row r="195" spans="1:30" x14ac:dyDescent="0.25">
      <c r="A195" s="887"/>
      <c r="B195" s="887"/>
      <c r="C195" s="887"/>
      <c r="D195" s="887"/>
      <c r="E195" s="887"/>
      <c r="F195" s="887"/>
      <c r="G195" s="887"/>
      <c r="H195" s="887"/>
      <c r="I195" s="887"/>
      <c r="J195" s="907"/>
      <c r="K195" s="907"/>
      <c r="L195" s="907"/>
      <c r="M195" s="907"/>
      <c r="N195" s="907"/>
      <c r="O195" s="907"/>
      <c r="P195" s="907"/>
      <c r="Q195" s="907"/>
      <c r="R195" s="907"/>
      <c r="S195" s="907"/>
      <c r="T195" s="907"/>
      <c r="U195" s="907"/>
      <c r="V195" s="907"/>
      <c r="W195" s="907"/>
      <c r="X195" s="907"/>
      <c r="Y195" s="907"/>
      <c r="Z195" s="907"/>
      <c r="AA195" s="907"/>
      <c r="AB195" s="907"/>
      <c r="AC195" s="907"/>
      <c r="AD195" s="907"/>
    </row>
    <row r="196" spans="1:30" x14ac:dyDescent="0.25">
      <c r="A196" s="887"/>
      <c r="B196" s="887"/>
      <c r="C196" s="887"/>
      <c r="D196" s="887"/>
      <c r="E196" s="887"/>
      <c r="F196" s="887"/>
      <c r="G196" s="887"/>
      <c r="H196" s="887"/>
      <c r="I196" s="887"/>
      <c r="J196" s="907"/>
      <c r="K196" s="907"/>
      <c r="L196" s="907"/>
      <c r="M196" s="907"/>
      <c r="N196" s="907"/>
      <c r="O196" s="907"/>
      <c r="P196" s="907"/>
      <c r="Q196" s="907"/>
      <c r="R196" s="907"/>
      <c r="S196" s="907"/>
      <c r="T196" s="907"/>
      <c r="U196" s="907"/>
      <c r="V196" s="907"/>
      <c r="W196" s="907"/>
      <c r="X196" s="907"/>
      <c r="Y196" s="907"/>
      <c r="Z196" s="907"/>
      <c r="AA196" s="907"/>
      <c r="AB196" s="907"/>
      <c r="AC196" s="907"/>
      <c r="AD196" s="907"/>
    </row>
    <row r="197" spans="1:30" x14ac:dyDescent="0.25">
      <c r="A197" s="887"/>
      <c r="B197" s="887"/>
      <c r="C197" s="887"/>
      <c r="D197" s="887"/>
      <c r="E197" s="887"/>
      <c r="F197" s="887"/>
      <c r="G197" s="887"/>
      <c r="H197" s="887"/>
      <c r="I197" s="887"/>
      <c r="J197" s="907"/>
      <c r="K197" s="907"/>
      <c r="L197" s="907"/>
      <c r="M197" s="907"/>
      <c r="N197" s="907"/>
      <c r="O197" s="907"/>
      <c r="P197" s="907"/>
      <c r="Q197" s="907"/>
      <c r="R197" s="907"/>
      <c r="S197" s="907"/>
      <c r="T197" s="907"/>
      <c r="U197" s="907"/>
      <c r="V197" s="907"/>
      <c r="W197" s="907"/>
      <c r="X197" s="907"/>
      <c r="Y197" s="907"/>
      <c r="Z197" s="907"/>
      <c r="AA197" s="907"/>
      <c r="AB197" s="907"/>
      <c r="AC197" s="907"/>
      <c r="AD197" s="907"/>
    </row>
    <row r="198" spans="1:30" x14ac:dyDescent="0.25">
      <c r="A198" s="887"/>
      <c r="B198" s="887"/>
      <c r="C198" s="887"/>
      <c r="D198" s="887"/>
      <c r="E198" s="887"/>
      <c r="F198" s="887"/>
      <c r="G198" s="887"/>
      <c r="H198" s="887"/>
      <c r="I198" s="887"/>
      <c r="J198" s="907"/>
      <c r="K198" s="907"/>
      <c r="L198" s="907"/>
      <c r="M198" s="907"/>
      <c r="N198" s="907"/>
      <c r="O198" s="907"/>
      <c r="P198" s="907"/>
      <c r="Q198" s="907"/>
      <c r="R198" s="907"/>
      <c r="S198" s="907"/>
      <c r="T198" s="907"/>
      <c r="U198" s="907"/>
      <c r="V198" s="907"/>
      <c r="W198" s="907"/>
      <c r="X198" s="907"/>
      <c r="Y198" s="907"/>
      <c r="Z198" s="907"/>
      <c r="AA198" s="907"/>
      <c r="AB198" s="907"/>
      <c r="AC198" s="907"/>
      <c r="AD198" s="907"/>
    </row>
    <row r="199" spans="1:30" x14ac:dyDescent="0.25">
      <c r="A199" s="887"/>
      <c r="B199" s="887"/>
      <c r="C199" s="887"/>
      <c r="D199" s="887"/>
      <c r="E199" s="887"/>
      <c r="F199" s="887"/>
      <c r="G199" s="887"/>
      <c r="H199" s="887"/>
      <c r="I199" s="887"/>
      <c r="J199" s="907"/>
      <c r="K199" s="907"/>
      <c r="L199" s="907"/>
      <c r="M199" s="907"/>
      <c r="N199" s="907"/>
      <c r="O199" s="907"/>
      <c r="P199" s="907"/>
      <c r="Q199" s="907"/>
      <c r="R199" s="907"/>
      <c r="S199" s="907"/>
      <c r="T199" s="907"/>
      <c r="U199" s="907"/>
      <c r="V199" s="907"/>
      <c r="W199" s="907"/>
      <c r="X199" s="907"/>
      <c r="Y199" s="907"/>
      <c r="Z199" s="907"/>
      <c r="AA199" s="907"/>
      <c r="AB199" s="907"/>
      <c r="AC199" s="907"/>
      <c r="AD199" s="907"/>
    </row>
    <row r="200" spans="1:30" x14ac:dyDescent="0.25">
      <c r="A200" s="887"/>
      <c r="B200" s="887"/>
      <c r="C200" s="887"/>
      <c r="D200" s="887"/>
      <c r="E200" s="887"/>
      <c r="F200" s="887"/>
      <c r="G200" s="887"/>
      <c r="H200" s="887"/>
      <c r="I200" s="887"/>
      <c r="J200" s="907"/>
      <c r="K200" s="907"/>
      <c r="L200" s="907"/>
      <c r="M200" s="907"/>
      <c r="N200" s="907"/>
      <c r="O200" s="907"/>
      <c r="P200" s="907"/>
      <c r="Q200" s="907"/>
      <c r="R200" s="907"/>
      <c r="S200" s="907"/>
      <c r="T200" s="907"/>
      <c r="U200" s="907"/>
      <c r="V200" s="907"/>
      <c r="W200" s="907"/>
      <c r="X200" s="907"/>
      <c r="Y200" s="907"/>
      <c r="Z200" s="907"/>
      <c r="AA200" s="907"/>
      <c r="AB200" s="907"/>
      <c r="AC200" s="907"/>
      <c r="AD200" s="907"/>
    </row>
    <row r="201" spans="1:30" x14ac:dyDescent="0.25">
      <c r="A201" s="887"/>
      <c r="B201" s="887"/>
      <c r="C201" s="887"/>
      <c r="D201" s="887"/>
      <c r="E201" s="887"/>
      <c r="F201" s="887"/>
      <c r="G201" s="887"/>
      <c r="H201" s="887"/>
      <c r="I201" s="887"/>
      <c r="J201" s="907"/>
      <c r="K201" s="907"/>
      <c r="L201" s="907"/>
      <c r="M201" s="907"/>
      <c r="N201" s="907"/>
      <c r="O201" s="907"/>
      <c r="P201" s="907"/>
      <c r="Q201" s="907"/>
      <c r="R201" s="907"/>
      <c r="S201" s="907"/>
      <c r="T201" s="907"/>
      <c r="U201" s="907"/>
      <c r="V201" s="907"/>
      <c r="W201" s="907"/>
      <c r="X201" s="907"/>
      <c r="Y201" s="907"/>
      <c r="Z201" s="907"/>
      <c r="AA201" s="907"/>
      <c r="AB201" s="907"/>
      <c r="AC201" s="907"/>
      <c r="AD201" s="907"/>
    </row>
    <row r="202" spans="1:30" x14ac:dyDescent="0.25">
      <c r="A202" s="887"/>
      <c r="B202" s="887"/>
      <c r="C202" s="887"/>
      <c r="D202" s="887"/>
      <c r="E202" s="887"/>
      <c r="F202" s="887"/>
      <c r="G202" s="887"/>
      <c r="H202" s="887"/>
      <c r="I202" s="887"/>
      <c r="J202" s="907"/>
      <c r="K202" s="907"/>
      <c r="L202" s="907"/>
      <c r="M202" s="907"/>
      <c r="N202" s="907"/>
      <c r="O202" s="907"/>
      <c r="P202" s="907"/>
      <c r="Q202" s="907"/>
      <c r="R202" s="907"/>
      <c r="S202" s="907"/>
      <c r="T202" s="907"/>
      <c r="U202" s="907"/>
      <c r="V202" s="907"/>
      <c r="W202" s="907"/>
      <c r="X202" s="907"/>
      <c r="Y202" s="907"/>
      <c r="Z202" s="907"/>
      <c r="AA202" s="907"/>
      <c r="AB202" s="907"/>
      <c r="AC202" s="907"/>
      <c r="AD202" s="907"/>
    </row>
    <row r="203" spans="1:30" x14ac:dyDescent="0.25">
      <c r="A203" s="887"/>
      <c r="B203" s="887"/>
      <c r="C203" s="887"/>
      <c r="D203" s="887"/>
      <c r="E203" s="887"/>
      <c r="F203" s="887"/>
      <c r="G203" s="887"/>
      <c r="H203" s="887"/>
      <c r="I203" s="887"/>
      <c r="J203" s="907"/>
      <c r="K203" s="907"/>
      <c r="L203" s="907"/>
      <c r="M203" s="907"/>
      <c r="N203" s="907"/>
      <c r="O203" s="907"/>
      <c r="P203" s="907"/>
      <c r="Q203" s="907"/>
      <c r="R203" s="907"/>
      <c r="S203" s="907"/>
      <c r="T203" s="907"/>
      <c r="U203" s="907"/>
      <c r="V203" s="907"/>
      <c r="W203" s="907"/>
      <c r="X203" s="907"/>
      <c r="Y203" s="907"/>
      <c r="Z203" s="907"/>
      <c r="AA203" s="907"/>
      <c r="AB203" s="907"/>
      <c r="AC203" s="907"/>
      <c r="AD203" s="907"/>
    </row>
    <row r="204" spans="1:30" x14ac:dyDescent="0.25">
      <c r="A204" s="887"/>
      <c r="B204" s="887"/>
      <c r="C204" s="887"/>
      <c r="D204" s="887"/>
      <c r="E204" s="887"/>
      <c r="F204" s="887"/>
      <c r="G204" s="887"/>
      <c r="H204" s="887"/>
      <c r="I204" s="887"/>
      <c r="J204" s="907"/>
      <c r="K204" s="907"/>
      <c r="L204" s="907"/>
      <c r="M204" s="907"/>
      <c r="N204" s="907"/>
      <c r="O204" s="907"/>
      <c r="P204" s="907"/>
      <c r="Q204" s="907"/>
      <c r="R204" s="907"/>
      <c r="S204" s="907"/>
      <c r="T204" s="907"/>
      <c r="U204" s="907"/>
      <c r="V204" s="907"/>
      <c r="W204" s="907"/>
      <c r="X204" s="907"/>
      <c r="Y204" s="907"/>
      <c r="Z204" s="907"/>
      <c r="AA204" s="907"/>
      <c r="AB204" s="907"/>
      <c r="AC204" s="907"/>
      <c r="AD204" s="907"/>
    </row>
    <row r="205" spans="1:30" x14ac:dyDescent="0.25">
      <c r="A205" s="887"/>
      <c r="B205" s="887"/>
      <c r="C205" s="887"/>
      <c r="D205" s="887"/>
      <c r="E205" s="887"/>
      <c r="F205" s="887"/>
      <c r="G205" s="887"/>
      <c r="H205" s="887"/>
      <c r="I205" s="887"/>
      <c r="J205" s="907"/>
      <c r="K205" s="907"/>
      <c r="L205" s="907"/>
      <c r="M205" s="907"/>
      <c r="N205" s="907"/>
      <c r="O205" s="907"/>
      <c r="P205" s="907"/>
      <c r="Q205" s="907"/>
      <c r="R205" s="907"/>
      <c r="S205" s="907"/>
      <c r="T205" s="907"/>
      <c r="U205" s="907"/>
      <c r="V205" s="907"/>
      <c r="W205" s="907"/>
      <c r="X205" s="907"/>
      <c r="Y205" s="907"/>
      <c r="Z205" s="907"/>
      <c r="AA205" s="907"/>
      <c r="AB205" s="907"/>
      <c r="AC205" s="907"/>
      <c r="AD205" s="907"/>
    </row>
    <row r="206" spans="1:30" x14ac:dyDescent="0.25">
      <c r="A206" s="887"/>
      <c r="B206" s="887"/>
      <c r="C206" s="887"/>
      <c r="D206" s="887"/>
      <c r="E206" s="887"/>
      <c r="F206" s="887"/>
      <c r="G206" s="887"/>
      <c r="H206" s="887"/>
      <c r="I206" s="887"/>
      <c r="J206" s="907"/>
      <c r="K206" s="907"/>
      <c r="L206" s="907"/>
      <c r="M206" s="907"/>
      <c r="N206" s="907"/>
      <c r="O206" s="907"/>
      <c r="P206" s="907"/>
      <c r="Q206" s="907"/>
      <c r="R206" s="907"/>
      <c r="S206" s="907"/>
      <c r="T206" s="907"/>
      <c r="U206" s="907"/>
      <c r="V206" s="907"/>
      <c r="W206" s="907"/>
      <c r="X206" s="907"/>
      <c r="Y206" s="907"/>
      <c r="Z206" s="907"/>
      <c r="AA206" s="907"/>
      <c r="AB206" s="907"/>
      <c r="AC206" s="907"/>
      <c r="AD206" s="907"/>
    </row>
    <row r="207" spans="1:30" x14ac:dyDescent="0.25">
      <c r="A207" s="887"/>
      <c r="B207" s="887"/>
      <c r="C207" s="887"/>
      <c r="D207" s="887"/>
      <c r="E207" s="887"/>
      <c r="F207" s="887"/>
      <c r="G207" s="887"/>
      <c r="H207" s="887"/>
      <c r="I207" s="887"/>
      <c r="J207" s="907"/>
      <c r="K207" s="907"/>
      <c r="L207" s="907"/>
      <c r="M207" s="907"/>
      <c r="N207" s="907"/>
      <c r="O207" s="907"/>
      <c r="P207" s="907"/>
      <c r="Q207" s="907"/>
      <c r="R207" s="907"/>
      <c r="S207" s="907"/>
      <c r="T207" s="907"/>
      <c r="U207" s="907"/>
      <c r="V207" s="907"/>
      <c r="W207" s="907"/>
      <c r="X207" s="907"/>
      <c r="Y207" s="907"/>
      <c r="Z207" s="907"/>
      <c r="AA207" s="907"/>
      <c r="AB207" s="907"/>
      <c r="AC207" s="907"/>
      <c r="AD207" s="907"/>
    </row>
    <row r="208" spans="1:30" x14ac:dyDescent="0.25">
      <c r="A208" s="887"/>
      <c r="B208" s="887"/>
      <c r="C208" s="887"/>
      <c r="D208" s="887"/>
      <c r="E208" s="887"/>
      <c r="F208" s="887"/>
      <c r="G208" s="887"/>
      <c r="H208" s="887"/>
      <c r="I208" s="887"/>
      <c r="J208" s="907"/>
      <c r="K208" s="907"/>
      <c r="L208" s="907"/>
      <c r="M208" s="907"/>
      <c r="N208" s="907"/>
      <c r="O208" s="907"/>
      <c r="P208" s="907"/>
      <c r="Q208" s="907"/>
      <c r="R208" s="907"/>
      <c r="S208" s="907"/>
      <c r="T208" s="907"/>
      <c r="U208" s="907"/>
      <c r="V208" s="907"/>
      <c r="W208" s="907"/>
      <c r="X208" s="907"/>
      <c r="Y208" s="907"/>
      <c r="Z208" s="907"/>
      <c r="AA208" s="907"/>
      <c r="AB208" s="907"/>
      <c r="AC208" s="907"/>
      <c r="AD208" s="907"/>
    </row>
    <row r="209" spans="1:30" x14ac:dyDescent="0.25">
      <c r="A209" s="887"/>
      <c r="B209" s="887"/>
      <c r="C209" s="887"/>
      <c r="D209" s="887"/>
      <c r="E209" s="887"/>
      <c r="F209" s="887"/>
      <c r="G209" s="887"/>
      <c r="H209" s="887"/>
      <c r="I209" s="887"/>
      <c r="J209" s="907"/>
      <c r="K209" s="907"/>
      <c r="L209" s="907"/>
      <c r="M209" s="907"/>
      <c r="N209" s="907"/>
      <c r="O209" s="907"/>
      <c r="P209" s="907"/>
      <c r="Q209" s="907"/>
      <c r="R209" s="907"/>
      <c r="S209" s="907"/>
      <c r="T209" s="907"/>
      <c r="U209" s="907"/>
      <c r="V209" s="907"/>
      <c r="W209" s="907"/>
      <c r="X209" s="907"/>
      <c r="Y209" s="907"/>
      <c r="Z209" s="907"/>
      <c r="AA209" s="907"/>
      <c r="AB209" s="907"/>
      <c r="AC209" s="907"/>
      <c r="AD209" s="907"/>
    </row>
    <row r="210" spans="1:30" x14ac:dyDescent="0.25">
      <c r="A210" s="887"/>
      <c r="B210" s="887"/>
      <c r="C210" s="887"/>
      <c r="D210" s="887"/>
      <c r="E210" s="887"/>
      <c r="F210" s="887"/>
      <c r="G210" s="887"/>
      <c r="H210" s="887"/>
      <c r="I210" s="887"/>
      <c r="J210" s="907"/>
      <c r="K210" s="907"/>
      <c r="L210" s="907"/>
      <c r="M210" s="907"/>
      <c r="N210" s="907"/>
      <c r="O210" s="907"/>
      <c r="P210" s="907"/>
      <c r="Q210" s="907"/>
      <c r="R210" s="907"/>
      <c r="S210" s="907"/>
      <c r="T210" s="907"/>
      <c r="U210" s="907"/>
      <c r="V210" s="907"/>
      <c r="W210" s="907"/>
      <c r="X210" s="907"/>
      <c r="Y210" s="907"/>
      <c r="Z210" s="907"/>
      <c r="AA210" s="907"/>
      <c r="AB210" s="907"/>
      <c r="AC210" s="907"/>
      <c r="AD210" s="907"/>
    </row>
    <row r="211" spans="1:30" x14ac:dyDescent="0.25">
      <c r="A211" s="887"/>
      <c r="B211" s="887"/>
      <c r="C211" s="887"/>
      <c r="D211" s="887"/>
      <c r="E211" s="887"/>
      <c r="F211" s="887"/>
      <c r="G211" s="887"/>
      <c r="H211" s="887"/>
      <c r="I211" s="887"/>
      <c r="J211" s="907"/>
      <c r="K211" s="907"/>
      <c r="L211" s="907"/>
      <c r="M211" s="907"/>
      <c r="N211" s="907"/>
      <c r="O211" s="907"/>
      <c r="P211" s="907"/>
      <c r="Q211" s="907"/>
      <c r="R211" s="907"/>
      <c r="S211" s="907"/>
      <c r="T211" s="907"/>
      <c r="U211" s="907"/>
      <c r="V211" s="907"/>
      <c r="W211" s="907"/>
      <c r="X211" s="907"/>
      <c r="Y211" s="907"/>
      <c r="Z211" s="907"/>
      <c r="AA211" s="907"/>
      <c r="AB211" s="907"/>
      <c r="AC211" s="907"/>
      <c r="AD211" s="907"/>
    </row>
    <row r="212" spans="1:30" x14ac:dyDescent="0.25">
      <c r="A212" s="887"/>
      <c r="B212" s="887"/>
      <c r="C212" s="887"/>
      <c r="D212" s="887"/>
      <c r="E212" s="887"/>
      <c r="F212" s="887"/>
      <c r="G212" s="887"/>
      <c r="H212" s="887"/>
      <c r="I212" s="887"/>
      <c r="J212" s="907"/>
      <c r="K212" s="907"/>
      <c r="L212" s="907"/>
      <c r="M212" s="907"/>
      <c r="N212" s="907"/>
      <c r="O212" s="907"/>
      <c r="P212" s="907"/>
      <c r="Q212" s="907"/>
      <c r="R212" s="907"/>
      <c r="S212" s="907"/>
      <c r="T212" s="907"/>
      <c r="U212" s="907"/>
      <c r="V212" s="907"/>
      <c r="W212" s="907"/>
      <c r="X212" s="907"/>
      <c r="Y212" s="907"/>
      <c r="Z212" s="907"/>
      <c r="AA212" s="907"/>
      <c r="AB212" s="907"/>
      <c r="AC212" s="907"/>
      <c r="AD212" s="907"/>
    </row>
    <row r="213" spans="1:30" x14ac:dyDescent="0.25">
      <c r="A213" s="887"/>
      <c r="B213" s="887"/>
      <c r="C213" s="887"/>
      <c r="D213" s="887"/>
      <c r="E213" s="887"/>
      <c r="F213" s="887"/>
      <c r="G213" s="887"/>
      <c r="H213" s="887"/>
      <c r="I213" s="887"/>
      <c r="J213" s="907"/>
      <c r="K213" s="907"/>
      <c r="L213" s="907"/>
      <c r="M213" s="907"/>
      <c r="N213" s="907"/>
      <c r="O213" s="907"/>
      <c r="P213" s="907"/>
      <c r="Q213" s="907"/>
      <c r="R213" s="907"/>
      <c r="S213" s="907"/>
      <c r="T213" s="907"/>
      <c r="U213" s="907"/>
      <c r="V213" s="907"/>
      <c r="W213" s="907"/>
      <c r="X213" s="907"/>
      <c r="Y213" s="907"/>
      <c r="Z213" s="907"/>
      <c r="AA213" s="907"/>
      <c r="AB213" s="907"/>
      <c r="AC213" s="907"/>
      <c r="AD213" s="907"/>
    </row>
    <row r="214" spans="1:30" x14ac:dyDescent="0.25">
      <c r="A214" s="887"/>
      <c r="B214" s="887"/>
      <c r="C214" s="887"/>
      <c r="D214" s="887"/>
      <c r="E214" s="887"/>
      <c r="F214" s="887"/>
      <c r="G214" s="887"/>
      <c r="H214" s="887"/>
      <c r="I214" s="887"/>
      <c r="J214" s="907"/>
      <c r="K214" s="907"/>
      <c r="L214" s="907"/>
      <c r="M214" s="907"/>
      <c r="N214" s="907"/>
      <c r="O214" s="907"/>
      <c r="P214" s="907"/>
      <c r="Q214" s="907"/>
      <c r="R214" s="907"/>
      <c r="S214" s="907"/>
      <c r="T214" s="907"/>
      <c r="U214" s="907"/>
      <c r="V214" s="907"/>
      <c r="W214" s="907"/>
      <c r="X214" s="907"/>
      <c r="Y214" s="907"/>
      <c r="Z214" s="907"/>
      <c r="AA214" s="907"/>
      <c r="AB214" s="907"/>
      <c r="AC214" s="907"/>
      <c r="AD214" s="907"/>
    </row>
    <row r="215" spans="1:30" x14ac:dyDescent="0.25">
      <c r="A215" s="887"/>
      <c r="B215" s="887"/>
      <c r="C215" s="887"/>
      <c r="D215" s="887"/>
      <c r="E215" s="887"/>
      <c r="F215" s="887"/>
      <c r="G215" s="887"/>
      <c r="H215" s="887"/>
      <c r="I215" s="887"/>
      <c r="J215" s="907"/>
      <c r="K215" s="907"/>
      <c r="L215" s="907"/>
      <c r="M215" s="907"/>
      <c r="N215" s="907"/>
      <c r="O215" s="907"/>
      <c r="P215" s="907"/>
      <c r="Q215" s="907"/>
      <c r="R215" s="907"/>
      <c r="S215" s="907"/>
      <c r="T215" s="907"/>
      <c r="U215" s="907"/>
      <c r="V215" s="907"/>
      <c r="W215" s="907"/>
      <c r="X215" s="907"/>
      <c r="Y215" s="907"/>
      <c r="Z215" s="907"/>
      <c r="AA215" s="907"/>
      <c r="AB215" s="907"/>
      <c r="AC215" s="907"/>
      <c r="AD215" s="907"/>
    </row>
    <row r="216" spans="1:30" x14ac:dyDescent="0.25">
      <c r="A216" s="887"/>
      <c r="B216" s="887"/>
      <c r="C216" s="887"/>
      <c r="D216" s="887"/>
      <c r="E216" s="887"/>
      <c r="F216" s="887"/>
      <c r="G216" s="887"/>
      <c r="H216" s="887"/>
      <c r="I216" s="887"/>
      <c r="J216" s="907"/>
      <c r="K216" s="907"/>
      <c r="L216" s="907"/>
      <c r="M216" s="907"/>
      <c r="N216" s="907"/>
      <c r="O216" s="907"/>
      <c r="P216" s="907"/>
      <c r="Q216" s="907"/>
      <c r="R216" s="907"/>
      <c r="S216" s="907"/>
      <c r="T216" s="907"/>
      <c r="U216" s="907"/>
      <c r="V216" s="907"/>
      <c r="W216" s="907"/>
      <c r="X216" s="907"/>
      <c r="Y216" s="907"/>
      <c r="Z216" s="907"/>
      <c r="AA216" s="907"/>
      <c r="AB216" s="907"/>
      <c r="AC216" s="907"/>
      <c r="AD216" s="907"/>
    </row>
    <row r="217" spans="1:30" x14ac:dyDescent="0.25">
      <c r="A217" s="887"/>
      <c r="B217" s="887"/>
      <c r="C217" s="887"/>
      <c r="D217" s="887"/>
      <c r="E217" s="887"/>
      <c r="F217" s="887"/>
      <c r="G217" s="887"/>
      <c r="H217" s="887"/>
      <c r="I217" s="887"/>
      <c r="J217" s="907"/>
      <c r="K217" s="907"/>
      <c r="L217" s="907"/>
      <c r="M217" s="907"/>
      <c r="N217" s="907"/>
      <c r="O217" s="907"/>
      <c r="P217" s="907"/>
      <c r="Q217" s="907"/>
      <c r="R217" s="907"/>
      <c r="S217" s="907"/>
      <c r="T217" s="907"/>
      <c r="U217" s="907"/>
      <c r="V217" s="907"/>
      <c r="W217" s="907"/>
      <c r="X217" s="907"/>
      <c r="Y217" s="907"/>
      <c r="Z217" s="907"/>
      <c r="AA217" s="907"/>
      <c r="AB217" s="907"/>
      <c r="AC217" s="907"/>
      <c r="AD217" s="907"/>
    </row>
    <row r="218" spans="1:30" x14ac:dyDescent="0.25">
      <c r="A218" s="887"/>
      <c r="B218" s="887"/>
      <c r="C218" s="887"/>
      <c r="D218" s="887"/>
      <c r="E218" s="887"/>
      <c r="F218" s="887"/>
      <c r="G218" s="887"/>
      <c r="H218" s="887"/>
      <c r="I218" s="887"/>
      <c r="J218" s="907"/>
      <c r="K218" s="907"/>
      <c r="L218" s="907"/>
      <c r="M218" s="907"/>
      <c r="N218" s="907"/>
      <c r="O218" s="907"/>
      <c r="P218" s="907"/>
      <c r="Q218" s="907"/>
      <c r="R218" s="907"/>
      <c r="S218" s="907"/>
      <c r="T218" s="907"/>
      <c r="U218" s="907"/>
      <c r="V218" s="907"/>
      <c r="W218" s="907"/>
      <c r="X218" s="907"/>
      <c r="Y218" s="907"/>
      <c r="Z218" s="907"/>
      <c r="AA218" s="907"/>
      <c r="AB218" s="907"/>
      <c r="AC218" s="907"/>
      <c r="AD218" s="907"/>
    </row>
    <row r="219" spans="1:30" x14ac:dyDescent="0.25">
      <c r="A219" s="887"/>
      <c r="B219" s="887"/>
      <c r="C219" s="887"/>
      <c r="D219" s="887"/>
      <c r="E219" s="887"/>
      <c r="F219" s="887"/>
      <c r="G219" s="887"/>
      <c r="H219" s="887"/>
      <c r="I219" s="887"/>
      <c r="J219" s="907"/>
      <c r="K219" s="907"/>
      <c r="L219" s="907"/>
      <c r="M219" s="907"/>
      <c r="N219" s="907"/>
      <c r="O219" s="907"/>
      <c r="P219" s="907"/>
      <c r="Q219" s="907"/>
      <c r="R219" s="907"/>
      <c r="S219" s="907"/>
      <c r="T219" s="907"/>
      <c r="U219" s="907"/>
      <c r="V219" s="907"/>
      <c r="W219" s="907"/>
      <c r="X219" s="907"/>
      <c r="Y219" s="907"/>
      <c r="Z219" s="907"/>
      <c r="AA219" s="907"/>
      <c r="AB219" s="907"/>
      <c r="AC219" s="907"/>
      <c r="AD219" s="907"/>
    </row>
    <row r="220" spans="1:30" x14ac:dyDescent="0.25">
      <c r="A220" s="887"/>
      <c r="B220" s="887"/>
      <c r="C220" s="887"/>
      <c r="D220" s="887"/>
      <c r="E220" s="887"/>
      <c r="F220" s="887"/>
      <c r="G220" s="887"/>
      <c r="H220" s="887"/>
      <c r="I220" s="887"/>
      <c r="J220" s="907"/>
      <c r="K220" s="907"/>
      <c r="L220" s="907"/>
      <c r="M220" s="907"/>
      <c r="N220" s="907"/>
      <c r="O220" s="907"/>
      <c r="P220" s="907"/>
      <c r="Q220" s="907"/>
      <c r="R220" s="907"/>
      <c r="S220" s="907"/>
      <c r="T220" s="907"/>
      <c r="U220" s="907"/>
      <c r="V220" s="907"/>
      <c r="W220" s="907"/>
      <c r="X220" s="907"/>
      <c r="Y220" s="907"/>
      <c r="Z220" s="907"/>
      <c r="AA220" s="907"/>
      <c r="AB220" s="907"/>
      <c r="AC220" s="907"/>
      <c r="AD220" s="907"/>
    </row>
    <row r="221" spans="1:30" x14ac:dyDescent="0.25">
      <c r="A221" s="887"/>
      <c r="B221" s="887"/>
      <c r="C221" s="887"/>
      <c r="D221" s="887"/>
      <c r="E221" s="887"/>
      <c r="F221" s="887"/>
      <c r="G221" s="887"/>
      <c r="H221" s="887"/>
      <c r="I221" s="887"/>
      <c r="J221" s="907"/>
      <c r="K221" s="907"/>
      <c r="L221" s="907"/>
      <c r="M221" s="907"/>
      <c r="N221" s="907"/>
      <c r="O221" s="907"/>
      <c r="P221" s="907"/>
      <c r="Q221" s="907"/>
      <c r="R221" s="907"/>
      <c r="S221" s="907"/>
      <c r="T221" s="907"/>
      <c r="U221" s="907"/>
      <c r="V221" s="907"/>
      <c r="W221" s="907"/>
      <c r="X221" s="907"/>
      <c r="Y221" s="907"/>
      <c r="Z221" s="907"/>
      <c r="AA221" s="907"/>
      <c r="AB221" s="907"/>
      <c r="AC221" s="907"/>
      <c r="AD221" s="907"/>
    </row>
    <row r="222" spans="1:30" x14ac:dyDescent="0.25">
      <c r="A222" s="887"/>
      <c r="B222" s="887"/>
      <c r="C222" s="887"/>
      <c r="D222" s="887"/>
      <c r="E222" s="887"/>
      <c r="F222" s="887"/>
      <c r="G222" s="887"/>
      <c r="H222" s="887"/>
      <c r="I222" s="887"/>
      <c r="J222" s="907"/>
      <c r="K222" s="907"/>
      <c r="L222" s="907"/>
      <c r="M222" s="907"/>
      <c r="N222" s="907"/>
      <c r="O222" s="907"/>
      <c r="P222" s="907"/>
      <c r="Q222" s="907"/>
      <c r="R222" s="907"/>
      <c r="S222" s="907"/>
      <c r="T222" s="907"/>
      <c r="U222" s="907"/>
      <c r="V222" s="907"/>
      <c r="W222" s="907"/>
      <c r="X222" s="907"/>
      <c r="Y222" s="907"/>
      <c r="Z222" s="907"/>
      <c r="AA222" s="907"/>
      <c r="AB222" s="907"/>
      <c r="AC222" s="907"/>
      <c r="AD222" s="907"/>
    </row>
    <row r="223" spans="1:30" x14ac:dyDescent="0.25">
      <c r="A223" s="887"/>
      <c r="B223" s="887"/>
      <c r="C223" s="887"/>
      <c r="D223" s="887"/>
      <c r="E223" s="887"/>
      <c r="F223" s="887"/>
      <c r="G223" s="887"/>
      <c r="H223" s="887"/>
      <c r="I223" s="887"/>
      <c r="J223" s="907"/>
      <c r="K223" s="907"/>
      <c r="L223" s="907"/>
      <c r="M223" s="907"/>
      <c r="N223" s="907"/>
      <c r="O223" s="907"/>
      <c r="P223" s="907"/>
      <c r="Q223" s="907"/>
      <c r="R223" s="907"/>
      <c r="S223" s="907"/>
      <c r="T223" s="907"/>
      <c r="U223" s="907"/>
      <c r="V223" s="907"/>
      <c r="W223" s="907"/>
      <c r="X223" s="907"/>
      <c r="Y223" s="907"/>
      <c r="Z223" s="907"/>
      <c r="AA223" s="907"/>
      <c r="AB223" s="907"/>
      <c r="AC223" s="907"/>
      <c r="AD223" s="907"/>
    </row>
    <row r="224" spans="1:30" x14ac:dyDescent="0.25">
      <c r="A224" s="887"/>
      <c r="B224" s="887"/>
      <c r="C224" s="887"/>
      <c r="D224" s="887"/>
      <c r="E224" s="887"/>
      <c r="F224" s="887"/>
      <c r="G224" s="887"/>
      <c r="H224" s="887"/>
      <c r="I224" s="887"/>
      <c r="J224" s="907"/>
      <c r="K224" s="907"/>
      <c r="L224" s="907"/>
      <c r="M224" s="907"/>
      <c r="N224" s="907"/>
      <c r="O224" s="907"/>
      <c r="P224" s="907"/>
      <c r="Q224" s="907"/>
      <c r="R224" s="907"/>
      <c r="S224" s="907"/>
      <c r="T224" s="907"/>
      <c r="U224" s="907"/>
      <c r="V224" s="907"/>
      <c r="W224" s="907"/>
      <c r="X224" s="907"/>
      <c r="Y224" s="907"/>
      <c r="Z224" s="907"/>
      <c r="AA224" s="907"/>
      <c r="AB224" s="907"/>
      <c r="AC224" s="907"/>
      <c r="AD224" s="907"/>
    </row>
    <row r="225" spans="1:30" x14ac:dyDescent="0.25">
      <c r="A225" s="887"/>
      <c r="B225" s="887"/>
      <c r="C225" s="887"/>
      <c r="D225" s="887"/>
      <c r="E225" s="887"/>
      <c r="F225" s="887"/>
      <c r="G225" s="887"/>
      <c r="H225" s="887"/>
      <c r="I225" s="887"/>
      <c r="J225" s="907"/>
      <c r="K225" s="907"/>
      <c r="L225" s="907"/>
      <c r="M225" s="907"/>
      <c r="N225" s="907"/>
      <c r="O225" s="907"/>
      <c r="P225" s="907"/>
      <c r="Q225" s="907"/>
      <c r="R225" s="907"/>
      <c r="S225" s="907"/>
      <c r="T225" s="907"/>
      <c r="U225" s="907"/>
      <c r="V225" s="907"/>
      <c r="W225" s="907"/>
      <c r="X225" s="907"/>
      <c r="Y225" s="907"/>
      <c r="Z225" s="907"/>
      <c r="AA225" s="907"/>
      <c r="AB225" s="907"/>
      <c r="AC225" s="907"/>
      <c r="AD225" s="907"/>
    </row>
    <row r="226" spans="1:30" x14ac:dyDescent="0.25">
      <c r="A226" s="887"/>
      <c r="B226" s="887"/>
      <c r="C226" s="887"/>
      <c r="D226" s="887"/>
      <c r="E226" s="887"/>
      <c r="F226" s="887"/>
      <c r="G226" s="887"/>
      <c r="H226" s="887"/>
      <c r="I226" s="887"/>
      <c r="J226" s="907"/>
      <c r="K226" s="907"/>
      <c r="L226" s="907"/>
      <c r="M226" s="907"/>
      <c r="N226" s="907"/>
      <c r="O226" s="907"/>
      <c r="P226" s="907"/>
      <c r="Q226" s="907"/>
      <c r="R226" s="907"/>
      <c r="S226" s="907"/>
      <c r="T226" s="907"/>
      <c r="U226" s="907"/>
      <c r="V226" s="907"/>
      <c r="W226" s="907"/>
      <c r="X226" s="907"/>
      <c r="Y226" s="907"/>
      <c r="Z226" s="907"/>
      <c r="AA226" s="907"/>
      <c r="AB226" s="907"/>
      <c r="AC226" s="907"/>
      <c r="AD226" s="907"/>
    </row>
    <row r="227" spans="1:30" x14ac:dyDescent="0.25">
      <c r="A227" s="887"/>
      <c r="B227" s="887"/>
      <c r="C227" s="887"/>
      <c r="D227" s="887"/>
      <c r="E227" s="887"/>
      <c r="F227" s="887"/>
      <c r="G227" s="887"/>
      <c r="H227" s="887"/>
      <c r="I227" s="887"/>
      <c r="J227" s="907"/>
      <c r="K227" s="907"/>
      <c r="L227" s="907"/>
      <c r="M227" s="907"/>
      <c r="N227" s="907"/>
      <c r="O227" s="907"/>
      <c r="P227" s="907"/>
      <c r="Q227" s="907"/>
      <c r="R227" s="907"/>
      <c r="S227" s="907"/>
      <c r="T227" s="907"/>
      <c r="U227" s="907"/>
      <c r="V227" s="907"/>
      <c r="W227" s="907"/>
      <c r="X227" s="907"/>
      <c r="Y227" s="907"/>
      <c r="Z227" s="907"/>
      <c r="AA227" s="907"/>
      <c r="AB227" s="907"/>
      <c r="AC227" s="907"/>
      <c r="AD227" s="907"/>
    </row>
    <row r="228" spans="1:30" x14ac:dyDescent="0.25">
      <c r="A228" s="887"/>
      <c r="B228" s="887"/>
      <c r="C228" s="887"/>
      <c r="D228" s="887"/>
      <c r="E228" s="887"/>
      <c r="F228" s="887"/>
      <c r="G228" s="887"/>
      <c r="H228" s="887"/>
      <c r="I228" s="887"/>
      <c r="J228" s="907"/>
      <c r="K228" s="907"/>
      <c r="L228" s="907"/>
      <c r="M228" s="907"/>
      <c r="N228" s="907"/>
      <c r="O228" s="907"/>
      <c r="P228" s="907"/>
      <c r="Q228" s="907"/>
      <c r="R228" s="907"/>
      <c r="S228" s="907"/>
      <c r="T228" s="907"/>
      <c r="U228" s="907"/>
      <c r="V228" s="907"/>
      <c r="W228" s="907"/>
      <c r="X228" s="907"/>
      <c r="Y228" s="907"/>
      <c r="Z228" s="907"/>
      <c r="AA228" s="907"/>
      <c r="AB228" s="907"/>
      <c r="AC228" s="907"/>
      <c r="AD228" s="907"/>
    </row>
    <row r="229" spans="1:30" x14ac:dyDescent="0.25">
      <c r="A229" s="887"/>
      <c r="B229" s="887"/>
      <c r="C229" s="887"/>
      <c r="D229" s="887"/>
      <c r="E229" s="887"/>
      <c r="F229" s="887"/>
      <c r="G229" s="887"/>
      <c r="H229" s="887"/>
      <c r="I229" s="887"/>
      <c r="J229" s="907"/>
      <c r="K229" s="907"/>
      <c r="L229" s="907"/>
      <c r="M229" s="907"/>
      <c r="N229" s="907"/>
      <c r="O229" s="907"/>
      <c r="P229" s="907"/>
      <c r="Q229" s="907"/>
      <c r="R229" s="907"/>
      <c r="S229" s="907"/>
      <c r="T229" s="907"/>
      <c r="U229" s="907"/>
      <c r="V229" s="907"/>
      <c r="W229" s="907"/>
      <c r="X229" s="907"/>
      <c r="Y229" s="907"/>
      <c r="Z229" s="907"/>
      <c r="AA229" s="907"/>
      <c r="AB229" s="907"/>
      <c r="AC229" s="907"/>
      <c r="AD229" s="907"/>
    </row>
    <row r="230" spans="1:30" x14ac:dyDescent="0.25">
      <c r="A230" s="887"/>
      <c r="B230" s="887"/>
      <c r="C230" s="887"/>
      <c r="D230" s="887"/>
      <c r="E230" s="887"/>
      <c r="F230" s="887"/>
      <c r="G230" s="887"/>
      <c r="H230" s="887"/>
      <c r="I230" s="887"/>
      <c r="J230" s="907"/>
      <c r="K230" s="907"/>
      <c r="L230" s="907"/>
      <c r="M230" s="907"/>
      <c r="N230" s="907"/>
      <c r="O230" s="907"/>
      <c r="P230" s="907"/>
      <c r="Q230" s="907"/>
      <c r="R230" s="907"/>
      <c r="S230" s="907"/>
      <c r="T230" s="907"/>
      <c r="U230" s="907"/>
      <c r="V230" s="907"/>
      <c r="W230" s="907"/>
      <c r="X230" s="907"/>
      <c r="Y230" s="907"/>
      <c r="Z230" s="907"/>
      <c r="AA230" s="907"/>
      <c r="AB230" s="907"/>
      <c r="AC230" s="907"/>
      <c r="AD230" s="907"/>
    </row>
    <row r="231" spans="1:30" x14ac:dyDescent="0.25">
      <c r="A231" s="887"/>
      <c r="B231" s="887"/>
      <c r="C231" s="887"/>
      <c r="D231" s="887"/>
      <c r="E231" s="887"/>
      <c r="F231" s="887"/>
      <c r="G231" s="887"/>
      <c r="H231" s="887"/>
      <c r="I231" s="887"/>
      <c r="J231" s="907"/>
      <c r="K231" s="907"/>
      <c r="L231" s="907"/>
      <c r="M231" s="907"/>
      <c r="N231" s="907"/>
      <c r="O231" s="907"/>
      <c r="P231" s="907"/>
      <c r="Q231" s="907"/>
      <c r="R231" s="907"/>
      <c r="S231" s="907"/>
      <c r="T231" s="907"/>
      <c r="U231" s="907"/>
      <c r="V231" s="907"/>
      <c r="W231" s="907"/>
      <c r="X231" s="907"/>
      <c r="Y231" s="907"/>
      <c r="Z231" s="907"/>
      <c r="AA231" s="907"/>
      <c r="AB231" s="907"/>
      <c r="AC231" s="907"/>
      <c r="AD231" s="907"/>
    </row>
    <row r="232" spans="1:30" x14ac:dyDescent="0.25">
      <c r="A232" s="887"/>
      <c r="B232" s="887"/>
      <c r="C232" s="887"/>
      <c r="D232" s="887"/>
      <c r="E232" s="887"/>
      <c r="F232" s="887"/>
      <c r="G232" s="887"/>
      <c r="H232" s="887"/>
      <c r="I232" s="887"/>
      <c r="J232" s="907"/>
      <c r="K232" s="907"/>
      <c r="L232" s="907"/>
      <c r="M232" s="907"/>
      <c r="N232" s="907"/>
      <c r="O232" s="907"/>
      <c r="P232" s="907"/>
      <c r="Q232" s="907"/>
      <c r="R232" s="907"/>
      <c r="S232" s="907"/>
      <c r="T232" s="907"/>
      <c r="U232" s="907"/>
      <c r="V232" s="907"/>
      <c r="W232" s="907"/>
      <c r="X232" s="907"/>
      <c r="Y232" s="907"/>
      <c r="Z232" s="907"/>
      <c r="AA232" s="907"/>
      <c r="AB232" s="907"/>
      <c r="AC232" s="907"/>
      <c r="AD232" s="907"/>
    </row>
    <row r="233" spans="1:30" x14ac:dyDescent="0.25">
      <c r="A233" s="887"/>
      <c r="B233" s="887"/>
      <c r="C233" s="887"/>
      <c r="D233" s="887"/>
      <c r="E233" s="887"/>
      <c r="F233" s="887"/>
      <c r="G233" s="887"/>
      <c r="H233" s="887"/>
      <c r="I233" s="887"/>
      <c r="J233" s="907"/>
      <c r="K233" s="907"/>
      <c r="L233" s="907"/>
      <c r="M233" s="907"/>
      <c r="N233" s="907"/>
      <c r="O233" s="907"/>
      <c r="P233" s="907"/>
      <c r="Q233" s="907"/>
      <c r="R233" s="907"/>
      <c r="S233" s="907"/>
      <c r="T233" s="907"/>
      <c r="U233" s="907"/>
      <c r="V233" s="907"/>
      <c r="W233" s="907"/>
      <c r="X233" s="907"/>
      <c r="Y233" s="907"/>
      <c r="Z233" s="907"/>
      <c r="AA233" s="907"/>
      <c r="AB233" s="907"/>
      <c r="AC233" s="907"/>
      <c r="AD233" s="907"/>
    </row>
    <row r="234" spans="1:30" x14ac:dyDescent="0.25">
      <c r="A234" s="887"/>
      <c r="B234" s="887"/>
      <c r="C234" s="887"/>
      <c r="D234" s="887"/>
      <c r="E234" s="887"/>
      <c r="F234" s="887"/>
      <c r="G234" s="887"/>
      <c r="H234" s="887"/>
      <c r="I234" s="887"/>
      <c r="J234" s="907"/>
      <c r="K234" s="907"/>
      <c r="L234" s="907"/>
      <c r="M234" s="907"/>
      <c r="N234" s="907"/>
      <c r="O234" s="907"/>
      <c r="P234" s="907"/>
      <c r="Q234" s="907"/>
      <c r="R234" s="907"/>
      <c r="S234" s="907"/>
      <c r="T234" s="907"/>
      <c r="U234" s="907"/>
      <c r="V234" s="907"/>
      <c r="W234" s="907"/>
      <c r="X234" s="907"/>
      <c r="Y234" s="907"/>
      <c r="Z234" s="907"/>
      <c r="AA234" s="907"/>
      <c r="AB234" s="907"/>
      <c r="AC234" s="907"/>
      <c r="AD234" s="907"/>
    </row>
    <row r="235" spans="1:30" x14ac:dyDescent="0.25">
      <c r="A235" s="887"/>
      <c r="B235" s="887"/>
      <c r="C235" s="887"/>
      <c r="D235" s="887"/>
      <c r="E235" s="887"/>
      <c r="F235" s="887"/>
      <c r="G235" s="887"/>
      <c r="H235" s="887"/>
      <c r="I235" s="887"/>
      <c r="J235" s="907"/>
      <c r="K235" s="907"/>
      <c r="L235" s="907"/>
      <c r="M235" s="907"/>
      <c r="N235" s="907"/>
      <c r="O235" s="907"/>
      <c r="P235" s="907"/>
      <c r="Q235" s="907"/>
      <c r="R235" s="907"/>
      <c r="S235" s="907"/>
      <c r="T235" s="907"/>
      <c r="U235" s="907"/>
      <c r="V235" s="907"/>
      <c r="W235" s="907"/>
      <c r="X235" s="907"/>
      <c r="Y235" s="907"/>
      <c r="Z235" s="907"/>
      <c r="AA235" s="907"/>
      <c r="AB235" s="907"/>
      <c r="AC235" s="907"/>
      <c r="AD235" s="907"/>
    </row>
    <row r="236" spans="1:30" x14ac:dyDescent="0.25">
      <c r="A236" s="887"/>
      <c r="B236" s="887"/>
      <c r="C236" s="887"/>
      <c r="D236" s="887"/>
      <c r="E236" s="887"/>
      <c r="F236" s="887"/>
      <c r="G236" s="887"/>
      <c r="H236" s="887"/>
      <c r="I236" s="887"/>
      <c r="J236" s="907"/>
      <c r="K236" s="907"/>
      <c r="L236" s="907"/>
      <c r="M236" s="907"/>
      <c r="N236" s="907"/>
      <c r="O236" s="907"/>
      <c r="P236" s="907"/>
      <c r="Q236" s="907"/>
      <c r="R236" s="907"/>
      <c r="S236" s="907"/>
      <c r="T236" s="907"/>
      <c r="U236" s="907"/>
      <c r="V236" s="907"/>
      <c r="W236" s="907"/>
      <c r="X236" s="907"/>
      <c r="Y236" s="907"/>
      <c r="Z236" s="907"/>
      <c r="AA236" s="907"/>
      <c r="AB236" s="907"/>
      <c r="AC236" s="907"/>
      <c r="AD236" s="907"/>
    </row>
    <row r="237" spans="1:30" x14ac:dyDescent="0.25">
      <c r="A237" s="887"/>
      <c r="B237" s="887"/>
      <c r="C237" s="887"/>
      <c r="D237" s="887"/>
      <c r="E237" s="887"/>
      <c r="F237" s="887"/>
      <c r="G237" s="887"/>
      <c r="H237" s="887"/>
      <c r="I237" s="887"/>
      <c r="J237" s="907"/>
      <c r="K237" s="907"/>
      <c r="L237" s="907"/>
      <c r="M237" s="907"/>
      <c r="N237" s="907"/>
      <c r="O237" s="907"/>
      <c r="P237" s="907"/>
      <c r="Q237" s="907"/>
      <c r="R237" s="907"/>
      <c r="S237" s="907"/>
      <c r="T237" s="907"/>
      <c r="U237" s="907"/>
      <c r="V237" s="907"/>
      <c r="W237" s="907"/>
      <c r="X237" s="907"/>
      <c r="Y237" s="907"/>
      <c r="Z237" s="907"/>
      <c r="AA237" s="907"/>
      <c r="AB237" s="907"/>
      <c r="AC237" s="907"/>
      <c r="AD237" s="907"/>
    </row>
    <row r="238" spans="1:30" x14ac:dyDescent="0.25">
      <c r="A238" s="887"/>
      <c r="B238" s="887"/>
      <c r="C238" s="887"/>
      <c r="D238" s="887"/>
      <c r="E238" s="887"/>
      <c r="F238" s="887"/>
      <c r="G238" s="887"/>
      <c r="H238" s="887"/>
      <c r="I238" s="887"/>
      <c r="J238" s="907"/>
      <c r="K238" s="907"/>
      <c r="L238" s="907"/>
      <c r="M238" s="907"/>
      <c r="N238" s="907"/>
      <c r="O238" s="907"/>
      <c r="P238" s="907"/>
      <c r="Q238" s="907"/>
      <c r="R238" s="907"/>
      <c r="S238" s="907"/>
      <c r="T238" s="907"/>
      <c r="U238" s="907"/>
      <c r="V238" s="907"/>
      <c r="W238" s="907"/>
      <c r="X238" s="907"/>
      <c r="Y238" s="907"/>
      <c r="Z238" s="907"/>
      <c r="AA238" s="907"/>
      <c r="AB238" s="907"/>
      <c r="AC238" s="907"/>
      <c r="AD238" s="907"/>
    </row>
    <row r="239" spans="1:30" x14ac:dyDescent="0.25">
      <c r="A239" s="887"/>
      <c r="B239" s="887"/>
      <c r="C239" s="887"/>
      <c r="D239" s="887"/>
      <c r="E239" s="887"/>
      <c r="F239" s="887"/>
      <c r="G239" s="887"/>
      <c r="H239" s="887"/>
      <c r="I239" s="887"/>
      <c r="J239" s="907"/>
      <c r="K239" s="907"/>
      <c r="L239" s="907"/>
      <c r="M239" s="907"/>
      <c r="N239" s="907"/>
      <c r="O239" s="907"/>
      <c r="P239" s="907"/>
      <c r="Q239" s="907"/>
      <c r="R239" s="907"/>
      <c r="S239" s="907"/>
      <c r="T239" s="907"/>
      <c r="U239" s="907"/>
      <c r="V239" s="907"/>
      <c r="W239" s="907"/>
      <c r="X239" s="907"/>
      <c r="Y239" s="907"/>
      <c r="Z239" s="907"/>
      <c r="AA239" s="907"/>
      <c r="AB239" s="907"/>
      <c r="AC239" s="907"/>
      <c r="AD239" s="907"/>
    </row>
    <row r="240" spans="1:30" x14ac:dyDescent="0.25">
      <c r="A240" s="887"/>
      <c r="B240" s="887"/>
      <c r="C240" s="887"/>
      <c r="D240" s="887"/>
      <c r="E240" s="887"/>
      <c r="F240" s="887"/>
      <c r="G240" s="887"/>
      <c r="H240" s="887"/>
      <c r="I240" s="887"/>
      <c r="J240" s="907"/>
      <c r="K240" s="907"/>
      <c r="L240" s="907"/>
      <c r="M240" s="907"/>
      <c r="N240" s="907"/>
      <c r="O240" s="907"/>
      <c r="P240" s="907"/>
      <c r="Q240" s="907"/>
      <c r="R240" s="907"/>
      <c r="S240" s="907"/>
      <c r="T240" s="907"/>
      <c r="U240" s="907"/>
      <c r="V240" s="907"/>
      <c r="W240" s="907"/>
      <c r="X240" s="907"/>
      <c r="Y240" s="907"/>
      <c r="Z240" s="907"/>
      <c r="AA240" s="907"/>
      <c r="AB240" s="907"/>
      <c r="AC240" s="907"/>
      <c r="AD240" s="907"/>
    </row>
    <row r="241" spans="1:30" x14ac:dyDescent="0.25">
      <c r="A241" s="887"/>
      <c r="B241" s="887"/>
      <c r="C241" s="887"/>
      <c r="D241" s="887"/>
      <c r="E241" s="887"/>
      <c r="F241" s="887"/>
      <c r="G241" s="887"/>
      <c r="H241" s="887"/>
      <c r="I241" s="887"/>
      <c r="J241" s="907"/>
      <c r="K241" s="907"/>
      <c r="L241" s="907"/>
      <c r="M241" s="907"/>
      <c r="N241" s="907"/>
      <c r="O241" s="907"/>
      <c r="P241" s="907"/>
      <c r="Q241" s="907"/>
      <c r="R241" s="907"/>
      <c r="S241" s="907"/>
      <c r="T241" s="907"/>
      <c r="U241" s="907"/>
      <c r="V241" s="907"/>
      <c r="W241" s="907"/>
      <c r="X241" s="907"/>
      <c r="Y241" s="907"/>
      <c r="Z241" s="907"/>
      <c r="AA241" s="907"/>
      <c r="AB241" s="907"/>
      <c r="AC241" s="907"/>
      <c r="AD241" s="907"/>
    </row>
    <row r="242" spans="1:30" x14ac:dyDescent="0.25">
      <c r="A242" s="887"/>
      <c r="B242" s="887"/>
      <c r="C242" s="887"/>
      <c r="D242" s="887"/>
      <c r="E242" s="887"/>
      <c r="F242" s="887"/>
      <c r="G242" s="887"/>
      <c r="H242" s="887"/>
      <c r="I242" s="887"/>
      <c r="J242" s="907"/>
      <c r="K242" s="907"/>
      <c r="L242" s="907"/>
      <c r="M242" s="907"/>
      <c r="N242" s="907"/>
      <c r="O242" s="907"/>
      <c r="P242" s="907"/>
      <c r="Q242" s="907"/>
      <c r="R242" s="907"/>
      <c r="S242" s="907"/>
      <c r="T242" s="907"/>
      <c r="U242" s="907"/>
      <c r="V242" s="907"/>
      <c r="W242" s="907"/>
      <c r="X242" s="907"/>
      <c r="Y242" s="907"/>
      <c r="Z242" s="907"/>
      <c r="AA242" s="907"/>
      <c r="AB242" s="907"/>
      <c r="AC242" s="907"/>
      <c r="AD242" s="907"/>
    </row>
    <row r="243" spans="1:30" x14ac:dyDescent="0.25">
      <c r="A243" s="887"/>
      <c r="B243" s="887"/>
      <c r="C243" s="887"/>
      <c r="D243" s="887"/>
      <c r="E243" s="887"/>
      <c r="F243" s="887"/>
      <c r="G243" s="887"/>
      <c r="H243" s="887"/>
      <c r="I243" s="887"/>
      <c r="J243" s="907"/>
      <c r="K243" s="907"/>
      <c r="L243" s="907"/>
      <c r="M243" s="907"/>
      <c r="N243" s="907"/>
      <c r="O243" s="907"/>
      <c r="P243" s="907"/>
      <c r="Q243" s="907"/>
      <c r="R243" s="907"/>
      <c r="S243" s="907"/>
      <c r="T243" s="907"/>
      <c r="U243" s="907"/>
      <c r="V243" s="907"/>
      <c r="W243" s="907"/>
      <c r="X243" s="907"/>
      <c r="Y243" s="907"/>
      <c r="Z243" s="907"/>
      <c r="AA243" s="907"/>
      <c r="AB243" s="907"/>
      <c r="AC243" s="907"/>
      <c r="AD243" s="907"/>
    </row>
    <row r="244" spans="1:30" x14ac:dyDescent="0.25">
      <c r="A244" s="887"/>
      <c r="B244" s="887"/>
      <c r="C244" s="887"/>
      <c r="D244" s="887"/>
      <c r="E244" s="887"/>
      <c r="F244" s="887"/>
      <c r="G244" s="887"/>
      <c r="H244" s="887"/>
      <c r="I244" s="887"/>
      <c r="J244" s="907"/>
      <c r="K244" s="907"/>
      <c r="L244" s="907"/>
      <c r="M244" s="907"/>
      <c r="N244" s="907"/>
      <c r="O244" s="907"/>
      <c r="P244" s="907"/>
      <c r="Q244" s="907"/>
      <c r="R244" s="907"/>
      <c r="S244" s="907"/>
      <c r="T244" s="907"/>
      <c r="U244" s="907"/>
      <c r="V244" s="907"/>
      <c r="W244" s="907"/>
      <c r="X244" s="907"/>
      <c r="Y244" s="907"/>
      <c r="Z244" s="907"/>
      <c r="AA244" s="907"/>
      <c r="AB244" s="907"/>
      <c r="AC244" s="907"/>
      <c r="AD244" s="907"/>
    </row>
    <row r="245" spans="1:30" x14ac:dyDescent="0.25">
      <c r="A245" s="887"/>
      <c r="B245" s="887"/>
      <c r="C245" s="887"/>
      <c r="D245" s="887"/>
      <c r="E245" s="887"/>
      <c r="F245" s="887"/>
      <c r="G245" s="887"/>
      <c r="H245" s="887"/>
      <c r="I245" s="887"/>
      <c r="J245" s="907"/>
      <c r="K245" s="907"/>
      <c r="L245" s="907"/>
      <c r="M245" s="907"/>
      <c r="N245" s="907"/>
      <c r="O245" s="907"/>
      <c r="P245" s="907"/>
      <c r="Q245" s="907"/>
      <c r="R245" s="907"/>
      <c r="S245" s="907"/>
      <c r="T245" s="907"/>
      <c r="U245" s="907"/>
      <c r="V245" s="907"/>
      <c r="W245" s="907"/>
      <c r="X245" s="907"/>
      <c r="Y245" s="907"/>
      <c r="Z245" s="907"/>
      <c r="AA245" s="907"/>
      <c r="AB245" s="907"/>
      <c r="AC245" s="907"/>
      <c r="AD245" s="907"/>
    </row>
    <row r="246" spans="1:30" x14ac:dyDescent="0.25">
      <c r="A246" s="887"/>
      <c r="B246" s="887"/>
      <c r="C246" s="887"/>
      <c r="D246" s="887"/>
      <c r="E246" s="887"/>
      <c r="F246" s="887"/>
      <c r="G246" s="887"/>
      <c r="H246" s="887"/>
      <c r="I246" s="887"/>
      <c r="J246" s="907"/>
      <c r="K246" s="907"/>
      <c r="L246" s="907"/>
      <c r="M246" s="907"/>
      <c r="N246" s="907"/>
      <c r="O246" s="907"/>
      <c r="P246" s="907"/>
      <c r="Q246" s="907"/>
      <c r="R246" s="907"/>
      <c r="S246" s="907"/>
      <c r="T246" s="907"/>
      <c r="U246" s="907"/>
      <c r="V246" s="907"/>
      <c r="W246" s="907"/>
      <c r="X246" s="907"/>
      <c r="Y246" s="907"/>
      <c r="Z246" s="907"/>
      <c r="AA246" s="907"/>
      <c r="AB246" s="907"/>
      <c r="AC246" s="907"/>
      <c r="AD246" s="907"/>
    </row>
    <row r="247" spans="1:30" x14ac:dyDescent="0.25">
      <c r="A247" s="887"/>
      <c r="B247" s="887"/>
      <c r="C247" s="887"/>
      <c r="D247" s="887"/>
      <c r="E247" s="887"/>
      <c r="F247" s="887"/>
      <c r="G247" s="887"/>
      <c r="H247" s="887"/>
      <c r="I247" s="887"/>
      <c r="J247" s="907"/>
      <c r="K247" s="907"/>
      <c r="L247" s="907"/>
      <c r="M247" s="907"/>
      <c r="N247" s="907"/>
      <c r="O247" s="907"/>
      <c r="P247" s="907"/>
      <c r="Q247" s="907"/>
      <c r="R247" s="907"/>
      <c r="S247" s="907"/>
      <c r="T247" s="907"/>
      <c r="U247" s="907"/>
      <c r="V247" s="907"/>
      <c r="W247" s="907"/>
      <c r="X247" s="907"/>
      <c r="Y247" s="907"/>
      <c r="Z247" s="907"/>
      <c r="AA247" s="907"/>
      <c r="AB247" s="907"/>
      <c r="AC247" s="907"/>
      <c r="AD247" s="907"/>
    </row>
    <row r="248" spans="1:30" x14ac:dyDescent="0.25">
      <c r="A248" s="887"/>
      <c r="B248" s="887"/>
      <c r="C248" s="887"/>
      <c r="D248" s="887"/>
      <c r="E248" s="887"/>
      <c r="F248" s="887"/>
      <c r="G248" s="887"/>
      <c r="H248" s="887"/>
      <c r="I248" s="887"/>
      <c r="J248" s="907"/>
      <c r="K248" s="907"/>
      <c r="L248" s="907"/>
      <c r="M248" s="907"/>
      <c r="N248" s="907"/>
      <c r="O248" s="907"/>
      <c r="P248" s="907"/>
      <c r="Q248" s="907"/>
      <c r="R248" s="907"/>
      <c r="S248" s="907"/>
      <c r="T248" s="907"/>
      <c r="U248" s="907"/>
      <c r="V248" s="907"/>
      <c r="W248" s="907"/>
      <c r="X248" s="907"/>
      <c r="Y248" s="907"/>
      <c r="Z248" s="907"/>
      <c r="AA248" s="907"/>
      <c r="AB248" s="907"/>
      <c r="AC248" s="907"/>
      <c r="AD248" s="907"/>
    </row>
    <row r="249" spans="1:30" x14ac:dyDescent="0.25">
      <c r="A249" s="887"/>
      <c r="B249" s="887"/>
      <c r="C249" s="887"/>
      <c r="D249" s="887"/>
      <c r="E249" s="887"/>
      <c r="F249" s="887"/>
      <c r="G249" s="887"/>
      <c r="H249" s="887"/>
      <c r="I249" s="887"/>
      <c r="J249" s="907"/>
      <c r="K249" s="907"/>
      <c r="L249" s="907"/>
      <c r="M249" s="907"/>
      <c r="N249" s="907"/>
      <c r="O249" s="907"/>
      <c r="P249" s="907"/>
      <c r="Q249" s="907"/>
      <c r="R249" s="907"/>
      <c r="S249" s="907"/>
      <c r="T249" s="907"/>
      <c r="U249" s="907"/>
      <c r="V249" s="907"/>
      <c r="W249" s="907"/>
      <c r="X249" s="907"/>
      <c r="Y249" s="907"/>
      <c r="Z249" s="907"/>
      <c r="AA249" s="907"/>
      <c r="AB249" s="907"/>
      <c r="AC249" s="907"/>
      <c r="AD249" s="907"/>
    </row>
    <row r="250" spans="1:30" x14ac:dyDescent="0.25">
      <c r="A250" s="887"/>
      <c r="B250" s="887"/>
      <c r="C250" s="887"/>
      <c r="D250" s="887"/>
      <c r="E250" s="887"/>
      <c r="F250" s="887"/>
      <c r="G250" s="887"/>
      <c r="H250" s="887"/>
      <c r="I250" s="887"/>
      <c r="J250" s="907"/>
      <c r="K250" s="907"/>
      <c r="L250" s="907"/>
      <c r="M250" s="907"/>
      <c r="N250" s="907"/>
      <c r="O250" s="907"/>
      <c r="P250" s="907"/>
      <c r="Q250" s="907"/>
      <c r="R250" s="907"/>
      <c r="S250" s="907"/>
      <c r="T250" s="907"/>
      <c r="U250" s="907"/>
      <c r="V250" s="907"/>
      <c r="W250" s="907"/>
      <c r="X250" s="907"/>
      <c r="Y250" s="907"/>
      <c r="Z250" s="907"/>
      <c r="AA250" s="907"/>
      <c r="AB250" s="907"/>
      <c r="AC250" s="907"/>
      <c r="AD250" s="907"/>
    </row>
    <row r="251" spans="1:30" x14ac:dyDescent="0.25">
      <c r="A251" s="887"/>
      <c r="B251" s="887"/>
      <c r="C251" s="887"/>
      <c r="D251" s="887"/>
      <c r="E251" s="887"/>
      <c r="F251" s="887"/>
      <c r="G251" s="887"/>
      <c r="H251" s="887"/>
      <c r="I251" s="887"/>
      <c r="J251" s="907"/>
      <c r="K251" s="907"/>
      <c r="L251" s="907"/>
      <c r="M251" s="907"/>
      <c r="N251" s="907"/>
      <c r="O251" s="907"/>
      <c r="P251" s="907"/>
      <c r="Q251" s="907"/>
      <c r="R251" s="907"/>
      <c r="S251" s="907"/>
      <c r="T251" s="907"/>
      <c r="U251" s="907"/>
      <c r="V251" s="907"/>
      <c r="W251" s="907"/>
      <c r="X251" s="907"/>
      <c r="Y251" s="907"/>
      <c r="Z251" s="907"/>
      <c r="AA251" s="907"/>
      <c r="AB251" s="907"/>
      <c r="AC251" s="907"/>
      <c r="AD251" s="907"/>
    </row>
    <row r="252" spans="1:30" x14ac:dyDescent="0.25">
      <c r="A252" s="887"/>
      <c r="B252" s="887"/>
      <c r="C252" s="887"/>
      <c r="D252" s="887"/>
      <c r="E252" s="887"/>
      <c r="F252" s="887"/>
      <c r="G252" s="887"/>
      <c r="H252" s="887"/>
      <c r="I252" s="887"/>
      <c r="J252" s="907"/>
      <c r="K252" s="907"/>
      <c r="L252" s="907"/>
      <c r="M252" s="907"/>
      <c r="N252" s="907"/>
      <c r="O252" s="907"/>
      <c r="P252" s="907"/>
      <c r="Q252" s="907"/>
      <c r="R252" s="907"/>
      <c r="S252" s="907"/>
      <c r="T252" s="907"/>
      <c r="U252" s="907"/>
      <c r="V252" s="907"/>
      <c r="W252" s="907"/>
      <c r="X252" s="907"/>
      <c r="Y252" s="907"/>
      <c r="Z252" s="907"/>
      <c r="AA252" s="907"/>
      <c r="AB252" s="907"/>
      <c r="AC252" s="907"/>
      <c r="AD252" s="907"/>
    </row>
    <row r="253" spans="1:30" x14ac:dyDescent="0.25">
      <c r="A253" s="887"/>
      <c r="B253" s="887"/>
      <c r="C253" s="887"/>
      <c r="D253" s="887"/>
      <c r="E253" s="887"/>
      <c r="F253" s="887"/>
      <c r="G253" s="887"/>
      <c r="H253" s="887"/>
      <c r="I253" s="887"/>
      <c r="J253" s="907"/>
      <c r="K253" s="907"/>
      <c r="L253" s="907"/>
      <c r="M253" s="907"/>
      <c r="N253" s="907"/>
      <c r="O253" s="907"/>
      <c r="P253" s="907"/>
      <c r="Q253" s="907"/>
      <c r="R253" s="907"/>
      <c r="S253" s="907"/>
      <c r="T253" s="907"/>
      <c r="U253" s="907"/>
      <c r="V253" s="907"/>
      <c r="W253" s="907"/>
      <c r="X253" s="907"/>
      <c r="Y253" s="907"/>
      <c r="Z253" s="907"/>
      <c r="AA253" s="907"/>
      <c r="AB253" s="907"/>
      <c r="AC253" s="907"/>
      <c r="AD253" s="907"/>
    </row>
    <row r="254" spans="1:30" x14ac:dyDescent="0.25">
      <c r="A254" s="887"/>
      <c r="B254" s="887"/>
      <c r="C254" s="887"/>
      <c r="D254" s="887"/>
      <c r="E254" s="887"/>
      <c r="F254" s="887"/>
      <c r="G254" s="887"/>
      <c r="H254" s="887"/>
      <c r="I254" s="887"/>
      <c r="J254" s="907"/>
      <c r="K254" s="907"/>
      <c r="L254" s="907"/>
      <c r="M254" s="907"/>
      <c r="N254" s="907"/>
      <c r="O254" s="907"/>
      <c r="P254" s="907"/>
      <c r="Q254" s="907"/>
      <c r="R254" s="907"/>
      <c r="S254" s="907"/>
      <c r="T254" s="907"/>
      <c r="U254" s="907"/>
      <c r="V254" s="907"/>
      <c r="W254" s="907"/>
      <c r="X254" s="907"/>
      <c r="Y254" s="907"/>
      <c r="Z254" s="907"/>
      <c r="AA254" s="907"/>
      <c r="AB254" s="907"/>
      <c r="AC254" s="907"/>
      <c r="AD254" s="907"/>
    </row>
    <row r="255" spans="1:30" x14ac:dyDescent="0.25">
      <c r="A255" s="887"/>
      <c r="B255" s="887"/>
      <c r="C255" s="887"/>
      <c r="D255" s="887"/>
      <c r="E255" s="887"/>
      <c r="F255" s="887"/>
      <c r="G255" s="887"/>
      <c r="H255" s="887"/>
      <c r="I255" s="887"/>
      <c r="J255" s="907"/>
      <c r="K255" s="907"/>
      <c r="L255" s="907"/>
      <c r="M255" s="907"/>
      <c r="N255" s="907"/>
      <c r="O255" s="907"/>
      <c r="P255" s="907"/>
      <c r="Q255" s="907"/>
      <c r="R255" s="907"/>
      <c r="S255" s="907"/>
      <c r="T255" s="907"/>
      <c r="U255" s="907"/>
      <c r="V255" s="907"/>
      <c r="W255" s="907"/>
      <c r="X255" s="907"/>
      <c r="Y255" s="907"/>
      <c r="Z255" s="907"/>
      <c r="AA255" s="907"/>
      <c r="AB255" s="907"/>
      <c r="AC255" s="907"/>
      <c r="AD255" s="907"/>
    </row>
    <row r="256" spans="1:30" x14ac:dyDescent="0.25">
      <c r="A256" s="887"/>
      <c r="B256" s="887"/>
      <c r="C256" s="887"/>
      <c r="D256" s="887"/>
      <c r="E256" s="887"/>
      <c r="F256" s="887"/>
      <c r="G256" s="887"/>
      <c r="H256" s="887"/>
      <c r="I256" s="887"/>
      <c r="J256" s="907"/>
      <c r="K256" s="907"/>
      <c r="L256" s="907"/>
      <c r="M256" s="907"/>
      <c r="N256" s="907"/>
      <c r="O256" s="907"/>
      <c r="P256" s="907"/>
      <c r="Q256" s="907"/>
      <c r="R256" s="907"/>
      <c r="S256" s="907"/>
      <c r="T256" s="907"/>
      <c r="U256" s="907"/>
      <c r="V256" s="907"/>
      <c r="W256" s="907"/>
      <c r="X256" s="907"/>
      <c r="Y256" s="907"/>
      <c r="Z256" s="907"/>
      <c r="AA256" s="907"/>
      <c r="AB256" s="907"/>
      <c r="AC256" s="907"/>
      <c r="AD256" s="907"/>
    </row>
    <row r="257" spans="1:30" x14ac:dyDescent="0.25">
      <c r="A257" s="887"/>
      <c r="B257" s="887"/>
      <c r="C257" s="887"/>
      <c r="D257" s="887"/>
      <c r="E257" s="887"/>
      <c r="F257" s="887"/>
      <c r="G257" s="887"/>
      <c r="H257" s="887"/>
      <c r="I257" s="887"/>
      <c r="J257" s="907"/>
      <c r="K257" s="907"/>
      <c r="L257" s="907"/>
      <c r="M257" s="907"/>
      <c r="N257" s="907"/>
      <c r="O257" s="907"/>
      <c r="P257" s="907"/>
      <c r="Q257" s="907"/>
      <c r="R257" s="907"/>
      <c r="S257" s="907"/>
      <c r="T257" s="907"/>
      <c r="U257" s="907"/>
      <c r="V257" s="907"/>
      <c r="W257" s="907"/>
      <c r="X257" s="907"/>
      <c r="Y257" s="907"/>
      <c r="Z257" s="907"/>
      <c r="AA257" s="907"/>
      <c r="AB257" s="907"/>
      <c r="AC257" s="907"/>
      <c r="AD257" s="907"/>
    </row>
    <row r="258" spans="1:30" x14ac:dyDescent="0.25">
      <c r="A258" s="887"/>
      <c r="B258" s="887"/>
      <c r="C258" s="887"/>
      <c r="D258" s="887"/>
      <c r="E258" s="887"/>
      <c r="F258" s="887"/>
      <c r="G258" s="887"/>
      <c r="H258" s="887"/>
      <c r="I258" s="887"/>
      <c r="J258" s="907"/>
      <c r="K258" s="907"/>
      <c r="L258" s="907"/>
      <c r="M258" s="907"/>
      <c r="N258" s="907"/>
      <c r="O258" s="907"/>
      <c r="P258" s="907"/>
      <c r="Q258" s="907"/>
      <c r="R258" s="907"/>
      <c r="S258" s="907"/>
      <c r="T258" s="907"/>
      <c r="U258" s="907"/>
      <c r="V258" s="907"/>
      <c r="W258" s="907"/>
      <c r="X258" s="907"/>
      <c r="Y258" s="907"/>
      <c r="Z258" s="907"/>
      <c r="AA258" s="907"/>
      <c r="AB258" s="907"/>
      <c r="AC258" s="907"/>
      <c r="AD258" s="907"/>
    </row>
    <row r="259" spans="1:30" x14ac:dyDescent="0.25">
      <c r="A259" s="887"/>
      <c r="B259" s="887"/>
      <c r="C259" s="887"/>
      <c r="D259" s="887"/>
      <c r="E259" s="887"/>
      <c r="F259" s="887"/>
      <c r="G259" s="887"/>
      <c r="H259" s="887"/>
      <c r="I259" s="887"/>
      <c r="J259" s="907"/>
      <c r="K259" s="907"/>
      <c r="L259" s="907"/>
      <c r="M259" s="907"/>
      <c r="N259" s="907"/>
      <c r="O259" s="907"/>
      <c r="P259" s="907"/>
      <c r="Q259" s="907"/>
      <c r="R259" s="907"/>
      <c r="S259" s="907"/>
      <c r="T259" s="907"/>
      <c r="U259" s="907"/>
      <c r="V259" s="907"/>
      <c r="W259" s="907"/>
      <c r="X259" s="907"/>
      <c r="Y259" s="907"/>
      <c r="Z259" s="907"/>
      <c r="AA259" s="907"/>
      <c r="AB259" s="907"/>
      <c r="AC259" s="907"/>
      <c r="AD259" s="907"/>
    </row>
    <row r="260" spans="1:30" x14ac:dyDescent="0.25">
      <c r="A260" s="887"/>
      <c r="B260" s="887"/>
      <c r="C260" s="887"/>
      <c r="D260" s="887"/>
      <c r="E260" s="887"/>
      <c r="F260" s="887"/>
      <c r="G260" s="887"/>
      <c r="H260" s="887"/>
      <c r="I260" s="887"/>
      <c r="J260" s="907"/>
      <c r="K260" s="907"/>
      <c r="L260" s="907"/>
      <c r="M260" s="907"/>
      <c r="N260" s="907"/>
      <c r="O260" s="907"/>
      <c r="P260" s="907"/>
      <c r="Q260" s="907"/>
      <c r="R260" s="907"/>
      <c r="S260" s="907"/>
      <c r="T260" s="907"/>
      <c r="U260" s="907"/>
      <c r="V260" s="907"/>
      <c r="W260" s="907"/>
      <c r="X260" s="907"/>
      <c r="Y260" s="907"/>
      <c r="Z260" s="907"/>
      <c r="AA260" s="907"/>
      <c r="AB260" s="907"/>
      <c r="AC260" s="907"/>
      <c r="AD260" s="907"/>
    </row>
    <row r="261" spans="1:30" x14ac:dyDescent="0.25">
      <c r="A261" s="887"/>
      <c r="B261" s="887"/>
      <c r="C261" s="887"/>
      <c r="D261" s="887"/>
      <c r="E261" s="887"/>
      <c r="F261" s="887"/>
      <c r="G261" s="887"/>
      <c r="H261" s="887"/>
      <c r="I261" s="887"/>
      <c r="J261" s="907"/>
      <c r="K261" s="907"/>
      <c r="L261" s="907"/>
      <c r="M261" s="907"/>
      <c r="N261" s="907"/>
      <c r="O261" s="907"/>
      <c r="P261" s="907"/>
      <c r="Q261" s="907"/>
      <c r="R261" s="907"/>
      <c r="S261" s="907"/>
      <c r="T261" s="907"/>
      <c r="U261" s="907"/>
      <c r="V261" s="907"/>
      <c r="W261" s="907"/>
      <c r="X261" s="907"/>
      <c r="Y261" s="907"/>
      <c r="Z261" s="907"/>
      <c r="AA261" s="907"/>
      <c r="AB261" s="907"/>
      <c r="AC261" s="907"/>
      <c r="AD261" s="907"/>
    </row>
    <row r="262" spans="1:30" x14ac:dyDescent="0.25">
      <c r="A262" s="887"/>
      <c r="B262" s="887"/>
      <c r="C262" s="887"/>
      <c r="D262" s="887"/>
      <c r="E262" s="887"/>
      <c r="F262" s="887"/>
      <c r="G262" s="887"/>
      <c r="H262" s="887"/>
      <c r="I262" s="887"/>
      <c r="J262" s="907"/>
      <c r="K262" s="907"/>
      <c r="L262" s="907"/>
      <c r="M262" s="907"/>
      <c r="N262" s="907"/>
      <c r="O262" s="907"/>
      <c r="P262" s="907"/>
      <c r="Q262" s="907"/>
      <c r="R262" s="907"/>
      <c r="S262" s="907"/>
      <c r="T262" s="907"/>
      <c r="U262" s="907"/>
      <c r="V262" s="907"/>
      <c r="W262" s="907"/>
      <c r="X262" s="907"/>
      <c r="Y262" s="907"/>
      <c r="Z262" s="907"/>
      <c r="AA262" s="907"/>
      <c r="AB262" s="907"/>
      <c r="AC262" s="907"/>
      <c r="AD262" s="907"/>
    </row>
    <row r="263" spans="1:30" x14ac:dyDescent="0.25">
      <c r="A263" s="887"/>
      <c r="B263" s="887"/>
      <c r="C263" s="887"/>
      <c r="D263" s="887"/>
      <c r="E263" s="887"/>
      <c r="F263" s="887"/>
      <c r="G263" s="887"/>
      <c r="H263" s="887"/>
      <c r="I263" s="887"/>
      <c r="J263" s="907"/>
      <c r="K263" s="907"/>
      <c r="L263" s="907"/>
      <c r="M263" s="907"/>
      <c r="N263" s="907"/>
      <c r="O263" s="907"/>
      <c r="P263" s="907"/>
      <c r="Q263" s="907"/>
      <c r="R263" s="907"/>
      <c r="S263" s="907"/>
      <c r="T263" s="907"/>
      <c r="U263" s="907"/>
      <c r="V263" s="907"/>
      <c r="W263" s="907"/>
      <c r="X263" s="907"/>
      <c r="Y263" s="907"/>
      <c r="Z263" s="907"/>
      <c r="AA263" s="907"/>
      <c r="AB263" s="907"/>
      <c r="AC263" s="907"/>
      <c r="AD263" s="907"/>
    </row>
    <row r="264" spans="1:30" x14ac:dyDescent="0.25">
      <c r="A264" s="887"/>
      <c r="B264" s="887"/>
      <c r="C264" s="887"/>
      <c r="D264" s="887"/>
      <c r="E264" s="887"/>
      <c r="F264" s="887"/>
      <c r="G264" s="887"/>
      <c r="H264" s="887"/>
      <c r="I264" s="887"/>
      <c r="J264" s="907"/>
      <c r="K264" s="907"/>
      <c r="L264" s="907"/>
      <c r="M264" s="907"/>
      <c r="N264" s="907"/>
      <c r="O264" s="907"/>
      <c r="P264" s="907"/>
      <c r="Q264" s="907"/>
      <c r="R264" s="907"/>
      <c r="S264" s="907"/>
      <c r="T264" s="907"/>
      <c r="U264" s="907"/>
      <c r="V264" s="907"/>
      <c r="W264" s="907"/>
      <c r="X264" s="907"/>
      <c r="Y264" s="907"/>
      <c r="Z264" s="907"/>
      <c r="AA264" s="907"/>
      <c r="AB264" s="907"/>
      <c r="AC264" s="907"/>
      <c r="AD264" s="907"/>
    </row>
    <row r="265" spans="1:30" x14ac:dyDescent="0.25">
      <c r="A265" s="887"/>
      <c r="B265" s="887"/>
      <c r="C265" s="887"/>
      <c r="D265" s="887"/>
      <c r="E265" s="887"/>
      <c r="F265" s="887"/>
      <c r="G265" s="887"/>
      <c r="H265" s="887"/>
      <c r="I265" s="887"/>
      <c r="J265" s="907"/>
      <c r="K265" s="907"/>
      <c r="L265" s="907"/>
      <c r="M265" s="907"/>
      <c r="N265" s="907"/>
      <c r="O265" s="907"/>
      <c r="P265" s="907"/>
      <c r="Q265" s="907"/>
      <c r="R265" s="907"/>
      <c r="S265" s="907"/>
      <c r="T265" s="907"/>
      <c r="U265" s="907"/>
      <c r="V265" s="907"/>
      <c r="W265" s="907"/>
      <c r="X265" s="907"/>
      <c r="Y265" s="907"/>
      <c r="Z265" s="907"/>
      <c r="AA265" s="907"/>
      <c r="AB265" s="907"/>
      <c r="AC265" s="907"/>
      <c r="AD265" s="907"/>
    </row>
    <row r="266" spans="1:30" x14ac:dyDescent="0.25">
      <c r="A266" s="887"/>
      <c r="B266" s="887"/>
      <c r="C266" s="887"/>
      <c r="D266" s="887"/>
      <c r="E266" s="887"/>
      <c r="F266" s="887"/>
      <c r="G266" s="887"/>
      <c r="H266" s="887"/>
      <c r="I266" s="887"/>
      <c r="J266" s="907"/>
      <c r="K266" s="907"/>
      <c r="L266" s="907"/>
      <c r="M266" s="907"/>
      <c r="N266" s="907"/>
      <c r="O266" s="907"/>
      <c r="P266" s="907"/>
      <c r="Q266" s="907"/>
      <c r="R266" s="907"/>
      <c r="S266" s="907"/>
      <c r="T266" s="907"/>
      <c r="U266" s="907"/>
      <c r="V266" s="907"/>
      <c r="W266" s="907"/>
      <c r="X266" s="907"/>
      <c r="Y266" s="907"/>
      <c r="Z266" s="907"/>
      <c r="AA266" s="907"/>
      <c r="AB266" s="907"/>
      <c r="AC266" s="907"/>
      <c r="AD266" s="907"/>
    </row>
    <row r="267" spans="1:30" x14ac:dyDescent="0.25">
      <c r="A267" s="887"/>
      <c r="B267" s="887"/>
      <c r="C267" s="887"/>
      <c r="D267" s="887"/>
      <c r="E267" s="887"/>
      <c r="F267" s="887"/>
      <c r="G267" s="887"/>
      <c r="H267" s="887"/>
      <c r="I267" s="887"/>
      <c r="J267" s="907"/>
      <c r="K267" s="907"/>
      <c r="L267" s="907"/>
      <c r="M267" s="907"/>
      <c r="N267" s="907"/>
      <c r="O267" s="907"/>
      <c r="P267" s="907"/>
      <c r="Q267" s="907"/>
      <c r="R267" s="907"/>
      <c r="S267" s="907"/>
      <c r="T267" s="907"/>
      <c r="U267" s="907"/>
      <c r="V267" s="907"/>
      <c r="W267" s="907"/>
      <c r="X267" s="907"/>
      <c r="Y267" s="907"/>
      <c r="Z267" s="907"/>
      <c r="AA267" s="907"/>
      <c r="AB267" s="907"/>
      <c r="AC267" s="907"/>
      <c r="AD267" s="907"/>
    </row>
    <row r="268" spans="1:30" x14ac:dyDescent="0.25">
      <c r="A268" s="887"/>
      <c r="B268" s="887"/>
      <c r="C268" s="887"/>
      <c r="D268" s="887"/>
      <c r="E268" s="887"/>
      <c r="F268" s="887"/>
      <c r="G268" s="887"/>
      <c r="H268" s="887"/>
      <c r="I268" s="887"/>
      <c r="J268" s="907"/>
      <c r="K268" s="907"/>
      <c r="L268" s="907"/>
      <c r="M268" s="907"/>
      <c r="N268" s="907"/>
      <c r="O268" s="907"/>
      <c r="P268" s="907"/>
      <c r="Q268" s="907"/>
      <c r="R268" s="907"/>
      <c r="S268" s="907"/>
      <c r="T268" s="907"/>
      <c r="U268" s="907"/>
      <c r="V268" s="907"/>
      <c r="W268" s="907"/>
      <c r="X268" s="907"/>
      <c r="Y268" s="907"/>
      <c r="Z268" s="907"/>
      <c r="AA268" s="907"/>
      <c r="AB268" s="907"/>
      <c r="AC268" s="907"/>
      <c r="AD268" s="907"/>
    </row>
    <row r="269" spans="1:30" x14ac:dyDescent="0.25">
      <c r="A269" s="887"/>
      <c r="B269" s="887"/>
      <c r="C269" s="887"/>
      <c r="D269" s="887"/>
      <c r="E269" s="887"/>
      <c r="F269" s="887"/>
      <c r="G269" s="887"/>
      <c r="H269" s="887"/>
      <c r="I269" s="887"/>
      <c r="J269" s="907"/>
      <c r="K269" s="907"/>
      <c r="L269" s="907"/>
      <c r="M269" s="907"/>
      <c r="N269" s="907"/>
      <c r="O269" s="907"/>
      <c r="P269" s="907"/>
      <c r="Q269" s="907"/>
      <c r="R269" s="907"/>
      <c r="S269" s="907"/>
      <c r="T269" s="907"/>
      <c r="U269" s="907"/>
      <c r="V269" s="907"/>
      <c r="W269" s="907"/>
      <c r="X269" s="907"/>
      <c r="Y269" s="907"/>
      <c r="Z269" s="907"/>
      <c r="AA269" s="907"/>
      <c r="AB269" s="907"/>
      <c r="AC269" s="907"/>
      <c r="AD269" s="907"/>
    </row>
    <row r="270" spans="1:30" x14ac:dyDescent="0.25">
      <c r="A270" s="887"/>
      <c r="B270" s="887"/>
      <c r="C270" s="887"/>
      <c r="D270" s="887"/>
      <c r="E270" s="887"/>
      <c r="F270" s="887"/>
      <c r="G270" s="887"/>
      <c r="H270" s="887"/>
      <c r="I270" s="887"/>
      <c r="J270" s="907"/>
      <c r="K270" s="907"/>
      <c r="L270" s="907"/>
      <c r="M270" s="907"/>
      <c r="N270" s="907"/>
      <c r="O270" s="907"/>
      <c r="P270" s="907"/>
      <c r="Q270" s="907"/>
      <c r="R270" s="907"/>
      <c r="S270" s="907"/>
      <c r="T270" s="907"/>
      <c r="U270" s="907"/>
      <c r="V270" s="907"/>
      <c r="W270" s="907"/>
      <c r="X270" s="907"/>
      <c r="Y270" s="907"/>
      <c r="Z270" s="907"/>
      <c r="AA270" s="907"/>
      <c r="AB270" s="907"/>
      <c r="AC270" s="907"/>
      <c r="AD270" s="907"/>
    </row>
    <row r="271" spans="1:30" x14ac:dyDescent="0.25">
      <c r="A271" s="887"/>
      <c r="B271" s="887"/>
      <c r="C271" s="887"/>
      <c r="D271" s="887"/>
      <c r="E271" s="887"/>
      <c r="F271" s="887"/>
      <c r="G271" s="887"/>
      <c r="H271" s="887"/>
      <c r="I271" s="887"/>
      <c r="J271" s="907"/>
      <c r="K271" s="907"/>
      <c r="L271" s="907"/>
      <c r="M271" s="907"/>
      <c r="N271" s="907"/>
      <c r="O271" s="907"/>
      <c r="P271" s="907"/>
      <c r="Q271" s="907"/>
      <c r="R271" s="907"/>
      <c r="S271" s="907"/>
      <c r="T271" s="907"/>
      <c r="U271" s="907"/>
      <c r="V271" s="907"/>
      <c r="W271" s="907"/>
      <c r="X271" s="907"/>
      <c r="Y271" s="907"/>
      <c r="Z271" s="907"/>
      <c r="AA271" s="907"/>
      <c r="AB271" s="907"/>
      <c r="AC271" s="907"/>
      <c r="AD271" s="907"/>
    </row>
    <row r="272" spans="1:30" x14ac:dyDescent="0.25">
      <c r="A272" s="887"/>
      <c r="B272" s="887"/>
      <c r="C272" s="887"/>
      <c r="D272" s="887"/>
      <c r="E272" s="887"/>
      <c r="F272" s="887"/>
      <c r="G272" s="887"/>
      <c r="H272" s="887"/>
      <c r="I272" s="887"/>
      <c r="J272" s="907"/>
      <c r="K272" s="907"/>
      <c r="L272" s="907"/>
      <c r="M272" s="907"/>
      <c r="N272" s="907"/>
      <c r="O272" s="907"/>
      <c r="P272" s="907"/>
      <c r="Q272" s="907"/>
      <c r="R272" s="907"/>
      <c r="S272" s="907"/>
      <c r="T272" s="907"/>
      <c r="U272" s="907"/>
      <c r="V272" s="907"/>
      <c r="W272" s="907"/>
      <c r="X272" s="907"/>
      <c r="Y272" s="907"/>
      <c r="Z272" s="907"/>
      <c r="AA272" s="907"/>
      <c r="AB272" s="907"/>
      <c r="AC272" s="907"/>
      <c r="AD272" s="907"/>
    </row>
    <row r="273" spans="1:30" x14ac:dyDescent="0.25">
      <c r="A273" s="887"/>
      <c r="B273" s="887"/>
      <c r="C273" s="887"/>
      <c r="D273" s="887"/>
      <c r="E273" s="887"/>
      <c r="F273" s="887"/>
      <c r="G273" s="887"/>
      <c r="H273" s="887"/>
      <c r="I273" s="887"/>
      <c r="J273" s="907"/>
      <c r="K273" s="907"/>
      <c r="L273" s="907"/>
      <c r="M273" s="907"/>
      <c r="N273" s="907"/>
      <c r="O273" s="907"/>
      <c r="P273" s="907"/>
      <c r="Q273" s="907"/>
      <c r="R273" s="907"/>
      <c r="S273" s="907"/>
      <c r="T273" s="907"/>
      <c r="U273" s="907"/>
      <c r="V273" s="907"/>
      <c r="W273" s="907"/>
      <c r="X273" s="907"/>
      <c r="Y273" s="907"/>
      <c r="Z273" s="907"/>
      <c r="AA273" s="907"/>
      <c r="AB273" s="907"/>
      <c r="AC273" s="907"/>
      <c r="AD273" s="907"/>
    </row>
    <row r="274" spans="1:30" x14ac:dyDescent="0.25">
      <c r="A274" s="887"/>
      <c r="B274" s="887"/>
      <c r="C274" s="887"/>
      <c r="D274" s="887"/>
      <c r="E274" s="887"/>
      <c r="F274" s="887"/>
      <c r="G274" s="887"/>
      <c r="H274" s="887"/>
      <c r="I274" s="887"/>
      <c r="J274" s="907"/>
      <c r="K274" s="907"/>
      <c r="L274" s="907"/>
      <c r="M274" s="907"/>
      <c r="N274" s="907"/>
      <c r="O274" s="907"/>
      <c r="P274" s="907"/>
      <c r="Q274" s="907"/>
      <c r="R274" s="907"/>
      <c r="S274" s="907"/>
      <c r="T274" s="907"/>
      <c r="U274" s="907"/>
      <c r="V274" s="907"/>
      <c r="W274" s="907"/>
      <c r="X274" s="907"/>
      <c r="Y274" s="907"/>
      <c r="Z274" s="907"/>
      <c r="AA274" s="907"/>
      <c r="AB274" s="907"/>
      <c r="AC274" s="907"/>
      <c r="AD274" s="907"/>
    </row>
    <row r="275" spans="1:30" x14ac:dyDescent="0.25">
      <c r="A275" s="887"/>
      <c r="B275" s="887"/>
      <c r="C275" s="887"/>
      <c r="D275" s="887"/>
      <c r="E275" s="887"/>
      <c r="F275" s="887"/>
      <c r="G275" s="887"/>
      <c r="H275" s="887"/>
      <c r="I275" s="887"/>
      <c r="J275" s="907"/>
      <c r="K275" s="907"/>
      <c r="L275" s="907"/>
      <c r="M275" s="907"/>
      <c r="N275" s="907"/>
      <c r="O275" s="907"/>
      <c r="P275" s="907"/>
      <c r="Q275" s="907"/>
      <c r="R275" s="907"/>
      <c r="S275" s="907"/>
      <c r="T275" s="907"/>
      <c r="U275" s="907"/>
      <c r="V275" s="907"/>
      <c r="W275" s="907"/>
      <c r="X275" s="907"/>
      <c r="Y275" s="907"/>
      <c r="Z275" s="907"/>
      <c r="AA275" s="907"/>
      <c r="AB275" s="907"/>
      <c r="AC275" s="907"/>
      <c r="AD275" s="907"/>
    </row>
    <row r="276" spans="1:30" x14ac:dyDescent="0.25">
      <c r="A276" s="887"/>
      <c r="B276" s="887"/>
      <c r="C276" s="887"/>
      <c r="D276" s="887"/>
      <c r="E276" s="887"/>
      <c r="F276" s="887"/>
      <c r="G276" s="887"/>
      <c r="H276" s="887"/>
      <c r="I276" s="887"/>
      <c r="J276" s="907"/>
      <c r="K276" s="907"/>
      <c r="L276" s="907"/>
      <c r="M276" s="907"/>
      <c r="N276" s="907"/>
      <c r="O276" s="907"/>
      <c r="P276" s="907"/>
      <c r="Q276" s="907"/>
      <c r="R276" s="907"/>
      <c r="S276" s="907"/>
      <c r="T276" s="907"/>
      <c r="U276" s="907"/>
      <c r="V276" s="907"/>
      <c r="W276" s="907"/>
      <c r="X276" s="907"/>
      <c r="Y276" s="907"/>
      <c r="Z276" s="907"/>
      <c r="AA276" s="907"/>
      <c r="AB276" s="907"/>
      <c r="AC276" s="907"/>
      <c r="AD276" s="907"/>
    </row>
    <row r="277" spans="1:30" x14ac:dyDescent="0.25">
      <c r="A277" s="887"/>
      <c r="B277" s="887"/>
      <c r="C277" s="887"/>
      <c r="D277" s="887"/>
      <c r="E277" s="887"/>
      <c r="F277" s="887"/>
      <c r="G277" s="887"/>
      <c r="H277" s="887"/>
      <c r="I277" s="887"/>
      <c r="J277" s="907"/>
      <c r="K277" s="907"/>
      <c r="L277" s="907"/>
      <c r="M277" s="907"/>
      <c r="N277" s="907"/>
      <c r="O277" s="907"/>
      <c r="P277" s="907"/>
      <c r="Q277" s="907"/>
      <c r="R277" s="907"/>
      <c r="S277" s="907"/>
      <c r="T277" s="907"/>
      <c r="U277" s="907"/>
      <c r="V277" s="907"/>
      <c r="W277" s="907"/>
      <c r="X277" s="907"/>
      <c r="Y277" s="907"/>
      <c r="Z277" s="907"/>
      <c r="AA277" s="907"/>
      <c r="AB277" s="907"/>
      <c r="AC277" s="907"/>
      <c r="AD277" s="907"/>
    </row>
    <row r="278" spans="1:30" x14ac:dyDescent="0.25">
      <c r="A278" s="887"/>
      <c r="B278" s="887"/>
      <c r="C278" s="887"/>
      <c r="D278" s="887"/>
      <c r="E278" s="887"/>
      <c r="F278" s="887"/>
      <c r="G278" s="887"/>
      <c r="H278" s="887"/>
      <c r="I278" s="887"/>
      <c r="J278" s="907"/>
      <c r="K278" s="907"/>
      <c r="L278" s="907"/>
      <c r="M278" s="907"/>
      <c r="N278" s="907"/>
      <c r="O278" s="907"/>
      <c r="P278" s="907"/>
      <c r="Q278" s="907"/>
      <c r="R278" s="907"/>
      <c r="S278" s="907"/>
      <c r="T278" s="907"/>
      <c r="U278" s="907"/>
      <c r="V278" s="907"/>
      <c r="W278" s="907"/>
      <c r="X278" s="907"/>
      <c r="Y278" s="907"/>
      <c r="Z278" s="907"/>
      <c r="AA278" s="907"/>
      <c r="AB278" s="907"/>
      <c r="AC278" s="907"/>
      <c r="AD278" s="907"/>
    </row>
    <row r="279" spans="1:30" x14ac:dyDescent="0.25">
      <c r="A279" s="887"/>
      <c r="B279" s="887"/>
      <c r="C279" s="887"/>
      <c r="D279" s="887"/>
      <c r="E279" s="887"/>
      <c r="F279" s="887"/>
      <c r="G279" s="887"/>
      <c r="H279" s="887"/>
      <c r="I279" s="887"/>
      <c r="J279" s="907"/>
      <c r="K279" s="907"/>
      <c r="L279" s="907"/>
      <c r="M279" s="907"/>
      <c r="N279" s="907"/>
      <c r="O279" s="907"/>
      <c r="P279" s="907"/>
      <c r="Q279" s="907"/>
      <c r="R279" s="907"/>
      <c r="S279" s="907"/>
      <c r="T279" s="907"/>
      <c r="U279" s="907"/>
      <c r="V279" s="907"/>
      <c r="W279" s="907"/>
      <c r="X279" s="907"/>
      <c r="Y279" s="907"/>
      <c r="Z279" s="907"/>
      <c r="AA279" s="907"/>
      <c r="AB279" s="907"/>
      <c r="AC279" s="907"/>
      <c r="AD279" s="907"/>
    </row>
    <row r="280" spans="1:30" x14ac:dyDescent="0.25">
      <c r="A280" s="887"/>
      <c r="B280" s="887"/>
      <c r="C280" s="887"/>
      <c r="D280" s="887"/>
      <c r="E280" s="887"/>
      <c r="F280" s="887"/>
      <c r="G280" s="887"/>
      <c r="H280" s="887"/>
      <c r="I280" s="887"/>
      <c r="J280" s="907"/>
      <c r="K280" s="907"/>
      <c r="L280" s="907"/>
      <c r="M280" s="907"/>
      <c r="N280" s="907"/>
      <c r="O280" s="907"/>
      <c r="P280" s="907"/>
      <c r="Q280" s="907"/>
      <c r="R280" s="907"/>
      <c r="S280" s="907"/>
      <c r="T280" s="907"/>
      <c r="U280" s="907"/>
      <c r="V280" s="907"/>
      <c r="W280" s="907"/>
      <c r="X280" s="907"/>
      <c r="Y280" s="907"/>
      <c r="Z280" s="907"/>
      <c r="AA280" s="907"/>
      <c r="AB280" s="907"/>
      <c r="AC280" s="907"/>
      <c r="AD280" s="907"/>
    </row>
    <row r="281" spans="1:30" x14ac:dyDescent="0.25">
      <c r="A281" s="887"/>
      <c r="B281" s="887"/>
      <c r="C281" s="887"/>
      <c r="D281" s="887"/>
      <c r="E281" s="887"/>
      <c r="F281" s="887"/>
      <c r="G281" s="887"/>
      <c r="H281" s="887"/>
      <c r="I281" s="887"/>
      <c r="J281" s="907"/>
      <c r="K281" s="907"/>
      <c r="L281" s="907"/>
      <c r="M281" s="907"/>
      <c r="N281" s="907"/>
      <c r="O281" s="907"/>
      <c r="P281" s="907"/>
      <c r="Q281" s="907"/>
      <c r="R281" s="907"/>
      <c r="S281" s="907"/>
      <c r="T281" s="907"/>
      <c r="U281" s="907"/>
      <c r="V281" s="907"/>
      <c r="W281" s="907"/>
      <c r="X281" s="907"/>
      <c r="Y281" s="907"/>
      <c r="Z281" s="907"/>
      <c r="AA281" s="907"/>
      <c r="AB281" s="907"/>
      <c r="AC281" s="907"/>
      <c r="AD281" s="907"/>
    </row>
    <row r="282" spans="1:30" x14ac:dyDescent="0.25">
      <c r="A282" s="887"/>
      <c r="B282" s="887"/>
      <c r="C282" s="887"/>
      <c r="D282" s="887"/>
      <c r="E282" s="887"/>
      <c r="F282" s="887"/>
      <c r="G282" s="887"/>
      <c r="H282" s="887"/>
      <c r="I282" s="887"/>
      <c r="J282" s="907"/>
      <c r="K282" s="907"/>
      <c r="L282" s="907"/>
      <c r="M282" s="907"/>
      <c r="N282" s="907"/>
      <c r="O282" s="907"/>
      <c r="P282" s="907"/>
      <c r="Q282" s="907"/>
      <c r="R282" s="907"/>
      <c r="S282" s="907"/>
      <c r="T282" s="907"/>
      <c r="U282" s="907"/>
      <c r="V282" s="907"/>
      <c r="W282" s="907"/>
      <c r="X282" s="907"/>
      <c r="Y282" s="907"/>
      <c r="Z282" s="907"/>
      <c r="AA282" s="907"/>
      <c r="AB282" s="907"/>
      <c r="AC282" s="907"/>
      <c r="AD282" s="907"/>
    </row>
    <row r="283" spans="1:30" x14ac:dyDescent="0.25">
      <c r="A283" s="887"/>
      <c r="B283" s="887"/>
      <c r="C283" s="887"/>
      <c r="D283" s="887"/>
      <c r="E283" s="887"/>
      <c r="F283" s="887"/>
      <c r="G283" s="887"/>
      <c r="H283" s="887"/>
      <c r="I283" s="887"/>
      <c r="J283" s="907"/>
      <c r="K283" s="907"/>
      <c r="L283" s="907"/>
      <c r="M283" s="907"/>
      <c r="N283" s="907"/>
      <c r="O283" s="907"/>
      <c r="P283" s="907"/>
      <c r="Q283" s="907"/>
      <c r="R283" s="907"/>
      <c r="S283" s="907"/>
      <c r="T283" s="907"/>
      <c r="U283" s="907"/>
      <c r="V283" s="907"/>
      <c r="W283" s="907"/>
      <c r="X283" s="907"/>
      <c r="Y283" s="907"/>
      <c r="Z283" s="907"/>
      <c r="AA283" s="907"/>
      <c r="AB283" s="907"/>
      <c r="AC283" s="907"/>
      <c r="AD283" s="907"/>
    </row>
    <row r="284" spans="1:30" x14ac:dyDescent="0.25">
      <c r="A284" s="887"/>
      <c r="B284" s="887"/>
      <c r="C284" s="887"/>
      <c r="D284" s="887"/>
      <c r="E284" s="887"/>
      <c r="F284" s="887"/>
      <c r="G284" s="887"/>
      <c r="H284" s="887"/>
      <c r="I284" s="887"/>
      <c r="J284" s="907"/>
      <c r="K284" s="907"/>
      <c r="L284" s="907"/>
      <c r="M284" s="907"/>
      <c r="N284" s="907"/>
      <c r="O284" s="907"/>
      <c r="P284" s="907"/>
      <c r="Q284" s="907"/>
      <c r="R284" s="907"/>
      <c r="S284" s="907"/>
      <c r="T284" s="907"/>
      <c r="U284" s="907"/>
      <c r="V284" s="907"/>
      <c r="W284" s="907"/>
      <c r="X284" s="907"/>
      <c r="Y284" s="907"/>
      <c r="Z284" s="907"/>
      <c r="AA284" s="907"/>
      <c r="AB284" s="907"/>
      <c r="AC284" s="907"/>
      <c r="AD284" s="907"/>
    </row>
    <row r="285" spans="1:30" x14ac:dyDescent="0.25">
      <c r="A285" s="887"/>
      <c r="B285" s="887"/>
      <c r="C285" s="887"/>
      <c r="D285" s="887"/>
      <c r="E285" s="887"/>
      <c r="F285" s="887"/>
      <c r="G285" s="887"/>
      <c r="H285" s="887"/>
      <c r="I285" s="887"/>
      <c r="J285" s="907"/>
      <c r="K285" s="907"/>
      <c r="L285" s="907"/>
      <c r="M285" s="907"/>
      <c r="N285" s="907"/>
      <c r="O285" s="907"/>
      <c r="P285" s="907"/>
      <c r="Q285" s="907"/>
      <c r="R285" s="907"/>
      <c r="S285" s="907"/>
      <c r="T285" s="907"/>
      <c r="U285" s="907"/>
      <c r="V285" s="907"/>
      <c r="W285" s="907"/>
      <c r="X285" s="907"/>
      <c r="Y285" s="907"/>
      <c r="Z285" s="907"/>
      <c r="AA285" s="907"/>
      <c r="AB285" s="907"/>
      <c r="AC285" s="907"/>
      <c r="AD285" s="907"/>
    </row>
    <row r="286" spans="1:30" x14ac:dyDescent="0.25">
      <c r="A286" s="887"/>
      <c r="B286" s="887"/>
      <c r="C286" s="887"/>
      <c r="D286" s="887"/>
      <c r="E286" s="887"/>
      <c r="F286" s="887"/>
      <c r="G286" s="887"/>
      <c r="H286" s="887"/>
      <c r="I286" s="887"/>
      <c r="J286" s="907"/>
      <c r="K286" s="907"/>
      <c r="L286" s="907"/>
      <c r="M286" s="907"/>
      <c r="N286" s="907"/>
      <c r="O286" s="907"/>
      <c r="P286" s="907"/>
      <c r="Q286" s="907"/>
      <c r="R286" s="907"/>
      <c r="S286" s="907"/>
      <c r="T286" s="907"/>
      <c r="U286" s="907"/>
      <c r="V286" s="907"/>
      <c r="W286" s="907"/>
      <c r="X286" s="907"/>
      <c r="Y286" s="907"/>
      <c r="Z286" s="907"/>
      <c r="AA286" s="907"/>
      <c r="AB286" s="907"/>
      <c r="AC286" s="907"/>
      <c r="AD286" s="907"/>
    </row>
    <row r="287" spans="1:30" x14ac:dyDescent="0.25">
      <c r="A287" s="887"/>
      <c r="B287" s="887"/>
      <c r="C287" s="887"/>
      <c r="D287" s="887"/>
      <c r="E287" s="887"/>
      <c r="F287" s="887"/>
      <c r="G287" s="887"/>
      <c r="H287" s="887"/>
      <c r="I287" s="887"/>
      <c r="J287" s="907"/>
      <c r="K287" s="907"/>
      <c r="L287" s="907"/>
      <c r="M287" s="907"/>
      <c r="N287" s="907"/>
      <c r="O287" s="907"/>
      <c r="P287" s="907"/>
      <c r="Q287" s="907"/>
      <c r="R287" s="907"/>
      <c r="S287" s="907"/>
      <c r="T287" s="907"/>
      <c r="U287" s="907"/>
      <c r="V287" s="907"/>
      <c r="W287" s="907"/>
      <c r="X287" s="907"/>
      <c r="Y287" s="907"/>
      <c r="Z287" s="907"/>
      <c r="AA287" s="907"/>
      <c r="AB287" s="907"/>
      <c r="AC287" s="907"/>
      <c r="AD287" s="907"/>
    </row>
    <row r="288" spans="1:30" x14ac:dyDescent="0.25">
      <c r="A288" s="887"/>
      <c r="B288" s="887"/>
      <c r="C288" s="887"/>
      <c r="D288" s="887"/>
      <c r="E288" s="887"/>
      <c r="F288" s="887"/>
      <c r="G288" s="887"/>
      <c r="H288" s="887"/>
      <c r="I288" s="887"/>
      <c r="J288" s="907"/>
      <c r="K288" s="907"/>
      <c r="L288" s="907"/>
      <c r="M288" s="907"/>
      <c r="N288" s="907"/>
      <c r="O288" s="907"/>
      <c r="P288" s="907"/>
      <c r="Q288" s="907"/>
      <c r="R288" s="907"/>
      <c r="S288" s="907"/>
      <c r="T288" s="907"/>
      <c r="U288" s="907"/>
      <c r="V288" s="907"/>
      <c r="W288" s="907"/>
      <c r="X288" s="907"/>
      <c r="Y288" s="907"/>
      <c r="Z288" s="907"/>
      <c r="AA288" s="907"/>
      <c r="AB288" s="907"/>
      <c r="AC288" s="907"/>
      <c r="AD288" s="907"/>
    </row>
    <row r="289" spans="1:30" x14ac:dyDescent="0.25">
      <c r="A289" s="887"/>
      <c r="B289" s="887"/>
      <c r="C289" s="887"/>
      <c r="D289" s="887"/>
      <c r="E289" s="887"/>
      <c r="F289" s="887"/>
      <c r="G289" s="887"/>
      <c r="H289" s="887"/>
      <c r="I289" s="887"/>
      <c r="J289" s="907"/>
      <c r="K289" s="907"/>
      <c r="L289" s="907"/>
      <c r="M289" s="907"/>
      <c r="N289" s="907"/>
      <c r="O289" s="907"/>
      <c r="P289" s="907"/>
      <c r="Q289" s="907"/>
      <c r="R289" s="907"/>
      <c r="S289" s="907"/>
      <c r="T289" s="907"/>
      <c r="U289" s="907"/>
      <c r="V289" s="907"/>
      <c r="W289" s="907"/>
      <c r="X289" s="907"/>
      <c r="Y289" s="907"/>
      <c r="Z289" s="907"/>
      <c r="AA289" s="907"/>
      <c r="AB289" s="907"/>
      <c r="AC289" s="907"/>
      <c r="AD289" s="907"/>
    </row>
    <row r="290" spans="1:30" x14ac:dyDescent="0.25">
      <c r="A290" s="887"/>
      <c r="B290" s="887"/>
      <c r="C290" s="887"/>
      <c r="D290" s="887"/>
      <c r="E290" s="887"/>
      <c r="F290" s="887"/>
      <c r="G290" s="887"/>
      <c r="H290" s="887"/>
      <c r="I290" s="887"/>
      <c r="J290" s="907"/>
      <c r="K290" s="907"/>
      <c r="L290" s="907"/>
      <c r="M290" s="907"/>
      <c r="N290" s="907"/>
      <c r="O290" s="907"/>
      <c r="P290" s="907"/>
      <c r="Q290" s="907"/>
      <c r="R290" s="907"/>
      <c r="S290" s="907"/>
      <c r="T290" s="907"/>
      <c r="U290" s="907"/>
      <c r="V290" s="907"/>
      <c r="W290" s="907"/>
      <c r="X290" s="907"/>
      <c r="Y290" s="907"/>
      <c r="Z290" s="907"/>
      <c r="AA290" s="907"/>
      <c r="AB290" s="907"/>
      <c r="AC290" s="907"/>
      <c r="AD290" s="907"/>
    </row>
    <row r="291" spans="1:30" x14ac:dyDescent="0.25">
      <c r="A291" s="887"/>
      <c r="B291" s="887"/>
      <c r="C291" s="887"/>
      <c r="D291" s="887"/>
      <c r="E291" s="887"/>
      <c r="F291" s="887"/>
      <c r="G291" s="887"/>
      <c r="H291" s="887"/>
      <c r="I291" s="887"/>
      <c r="J291" s="907"/>
      <c r="K291" s="907"/>
      <c r="L291" s="907"/>
      <c r="M291" s="907"/>
      <c r="N291" s="907"/>
      <c r="O291" s="907"/>
      <c r="P291" s="907"/>
      <c r="Q291" s="907"/>
      <c r="R291" s="907"/>
      <c r="S291" s="907"/>
      <c r="T291" s="907"/>
      <c r="U291" s="907"/>
      <c r="V291" s="907"/>
      <c r="W291" s="907"/>
      <c r="X291" s="907"/>
      <c r="Y291" s="907"/>
      <c r="Z291" s="907"/>
      <c r="AA291" s="907"/>
      <c r="AB291" s="907"/>
      <c r="AC291" s="907"/>
      <c r="AD291" s="907"/>
    </row>
    <row r="292" spans="1:30" x14ac:dyDescent="0.25">
      <c r="A292" s="887"/>
      <c r="B292" s="887"/>
      <c r="C292" s="887"/>
      <c r="D292" s="887"/>
      <c r="E292" s="887"/>
      <c r="F292" s="887"/>
      <c r="G292" s="887"/>
      <c r="H292" s="887"/>
      <c r="I292" s="887"/>
      <c r="J292" s="907"/>
      <c r="K292" s="907"/>
      <c r="L292" s="907"/>
      <c r="M292" s="907"/>
      <c r="N292" s="907"/>
      <c r="O292" s="907"/>
      <c r="P292" s="907"/>
      <c r="Q292" s="907"/>
      <c r="R292" s="907"/>
      <c r="S292" s="907"/>
      <c r="T292" s="907"/>
      <c r="U292" s="907"/>
      <c r="V292" s="907"/>
      <c r="W292" s="907"/>
      <c r="X292" s="907"/>
      <c r="Y292" s="907"/>
      <c r="Z292" s="907"/>
      <c r="AA292" s="907"/>
      <c r="AB292" s="907"/>
      <c r="AC292" s="907"/>
      <c r="AD292" s="907"/>
    </row>
    <row r="293" spans="1:30" x14ac:dyDescent="0.25">
      <c r="A293" s="887"/>
      <c r="B293" s="887"/>
      <c r="C293" s="887"/>
      <c r="D293" s="887"/>
      <c r="E293" s="887"/>
      <c r="F293" s="887"/>
      <c r="G293" s="887"/>
      <c r="H293" s="887"/>
      <c r="I293" s="887"/>
      <c r="J293" s="907"/>
      <c r="K293" s="907"/>
      <c r="L293" s="907"/>
      <c r="M293" s="907"/>
      <c r="N293" s="907"/>
      <c r="O293" s="907"/>
      <c r="P293" s="907"/>
      <c r="Q293" s="907"/>
      <c r="R293" s="907"/>
      <c r="S293" s="907"/>
      <c r="T293" s="907"/>
      <c r="U293" s="907"/>
      <c r="V293" s="907"/>
      <c r="W293" s="907"/>
      <c r="X293" s="907"/>
      <c r="Y293" s="907"/>
      <c r="Z293" s="907"/>
      <c r="AA293" s="907"/>
      <c r="AB293" s="907"/>
      <c r="AC293" s="907"/>
      <c r="AD293" s="907"/>
    </row>
    <row r="294" spans="1:30" x14ac:dyDescent="0.25">
      <c r="A294" s="887"/>
      <c r="B294" s="887"/>
      <c r="C294" s="887"/>
      <c r="D294" s="887"/>
      <c r="E294" s="887"/>
      <c r="F294" s="887"/>
      <c r="G294" s="887"/>
      <c r="H294" s="887"/>
      <c r="I294" s="887"/>
      <c r="J294" s="907"/>
      <c r="K294" s="907"/>
      <c r="L294" s="907"/>
      <c r="M294" s="907"/>
      <c r="N294" s="907"/>
      <c r="O294" s="907"/>
      <c r="P294" s="907"/>
      <c r="Q294" s="907"/>
      <c r="R294" s="907"/>
      <c r="S294" s="907"/>
      <c r="T294" s="907"/>
      <c r="U294" s="907"/>
      <c r="V294" s="907"/>
      <c r="W294" s="907"/>
      <c r="X294" s="907"/>
      <c r="Y294" s="907"/>
      <c r="Z294" s="907"/>
      <c r="AA294" s="907"/>
      <c r="AB294" s="907"/>
      <c r="AC294" s="907"/>
      <c r="AD294" s="907"/>
    </row>
  </sheetData>
  <sheetProtection password="A53B" sheet="1" objects="1" scenarios="1"/>
  <mergeCells count="14">
    <mergeCell ref="X60:Z60"/>
    <mergeCell ref="X67:Z67"/>
    <mergeCell ref="B62:F62"/>
    <mergeCell ref="B63:F63"/>
    <mergeCell ref="I60:K60"/>
    <mergeCell ref="L60:N60"/>
    <mergeCell ref="O60:Q60"/>
    <mergeCell ref="I67:K67"/>
    <mergeCell ref="L67:N67"/>
    <mergeCell ref="O67:Q67"/>
    <mergeCell ref="R67:T67"/>
    <mergeCell ref="U60:W60"/>
    <mergeCell ref="R60:T60"/>
    <mergeCell ref="U67:W67"/>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FF6699"/>
  </sheetPr>
  <dimension ref="A1:AE69"/>
  <sheetViews>
    <sheetView showGridLines="0" showRowColHeaders="0" zoomScaleNormal="100" workbookViewId="0">
      <selection activeCell="B31" sqref="B31"/>
    </sheetView>
  </sheetViews>
  <sheetFormatPr baseColWidth="10" defaultRowHeight="15" x14ac:dyDescent="0.25"/>
  <cols>
    <col min="1" max="1" width="5.42578125" style="33" customWidth="1"/>
    <col min="2" max="2" width="20.42578125" style="209" customWidth="1"/>
    <col min="3" max="3" width="31.42578125" style="209" customWidth="1"/>
    <col min="4" max="4" width="14.42578125" style="209" customWidth="1"/>
    <col min="5" max="5" width="15.28515625" style="209" customWidth="1"/>
    <col min="6" max="6" width="68.7109375" style="209" customWidth="1"/>
    <col min="7" max="7" width="19.7109375" style="209" customWidth="1"/>
    <col min="8" max="9" width="9.7109375" style="360" customWidth="1"/>
    <col min="10" max="10" width="8" style="907" customWidth="1"/>
    <col min="11" max="11" width="69.5703125" style="907" bestFit="1" customWidth="1"/>
    <col min="12" max="24" width="11.42578125" style="907"/>
    <col min="25" max="25" width="11.42578125" style="905"/>
    <col min="26" max="31" width="11.42578125" style="33"/>
  </cols>
  <sheetData>
    <row r="1" spans="1:31" ht="26.25" x14ac:dyDescent="0.4">
      <c r="A1" s="402" t="s">
        <v>485</v>
      </c>
      <c r="B1" s="327"/>
      <c r="C1" s="327"/>
    </row>
    <row r="2" spans="1:31" x14ac:dyDescent="0.25">
      <c r="A2" s="5"/>
      <c r="C2" s="283"/>
      <c r="D2" s="296"/>
      <c r="E2" s="641" t="s">
        <v>1167</v>
      </c>
      <c r="F2" s="296"/>
    </row>
    <row r="3" spans="1:31" s="102" customFormat="1" x14ac:dyDescent="0.25">
      <c r="A3" s="228"/>
      <c r="B3" s="228"/>
      <c r="C3" s="228"/>
      <c r="D3" s="228"/>
      <c r="E3" s="228"/>
      <c r="F3" s="228"/>
      <c r="G3" s="228"/>
      <c r="H3" s="361"/>
      <c r="I3" s="361"/>
      <c r="J3" s="951"/>
      <c r="K3" s="951"/>
      <c r="L3" s="1121" t="s">
        <v>486</v>
      </c>
      <c r="M3" s="1121"/>
      <c r="N3" s="1121"/>
      <c r="O3" s="951"/>
      <c r="P3" s="951"/>
      <c r="Q3" s="951"/>
      <c r="R3" s="951"/>
      <c r="S3" s="951"/>
      <c r="T3" s="951"/>
      <c r="U3" s="951"/>
      <c r="V3" s="951"/>
      <c r="W3" s="951"/>
      <c r="X3" s="951"/>
      <c r="Y3" s="952"/>
      <c r="Z3" s="228"/>
      <c r="AA3" s="228"/>
      <c r="AB3" s="228"/>
      <c r="AC3" s="228"/>
      <c r="AD3" s="228"/>
      <c r="AE3" s="228"/>
    </row>
    <row r="4" spans="1:31" x14ac:dyDescent="0.25">
      <c r="B4" s="328" t="s">
        <v>491</v>
      </c>
      <c r="C4" s="875" t="s">
        <v>492</v>
      </c>
      <c r="D4" s="1118" t="s">
        <v>664</v>
      </c>
      <c r="E4" s="1119"/>
      <c r="F4" s="875" t="s">
        <v>1044</v>
      </c>
      <c r="G4" s="474" t="s">
        <v>1045</v>
      </c>
      <c r="H4" s="1120" t="s">
        <v>656</v>
      </c>
      <c r="I4" s="1120"/>
      <c r="K4" s="936" t="s">
        <v>494</v>
      </c>
      <c r="L4" s="940" t="s">
        <v>488</v>
      </c>
      <c r="M4" s="940" t="s">
        <v>489</v>
      </c>
      <c r="N4" s="940" t="s">
        <v>487</v>
      </c>
    </row>
    <row r="5" spans="1:31" x14ac:dyDescent="0.25">
      <c r="B5" s="329" t="s">
        <v>490</v>
      </c>
      <c r="C5" s="876" t="s">
        <v>493</v>
      </c>
      <c r="D5" s="1122" t="s">
        <v>670</v>
      </c>
      <c r="E5" s="1123"/>
      <c r="F5" s="475"/>
      <c r="G5" s="330" t="s">
        <v>1046</v>
      </c>
      <c r="H5" s="1120" t="s">
        <v>657</v>
      </c>
      <c r="I5" s="1120"/>
      <c r="K5" s="907" t="s">
        <v>1052</v>
      </c>
      <c r="L5" s="937">
        <v>6.2</v>
      </c>
      <c r="M5" s="937">
        <v>0.09</v>
      </c>
      <c r="N5" s="937">
        <v>0.48</v>
      </c>
    </row>
    <row r="6" spans="1:31" x14ac:dyDescent="0.25">
      <c r="B6" s="893"/>
      <c r="C6" s="894"/>
      <c r="D6" s="331" t="s">
        <v>1007</v>
      </c>
      <c r="E6" s="331" t="s">
        <v>665</v>
      </c>
      <c r="F6" s="331"/>
      <c r="G6" s="895"/>
      <c r="H6" s="362" t="s">
        <v>622</v>
      </c>
      <c r="I6" s="362" t="s">
        <v>623</v>
      </c>
      <c r="K6" s="907" t="s">
        <v>920</v>
      </c>
      <c r="L6" s="953">
        <f>IF('Feuille saisie commune'!$F$23="Oui",'Porc (Effluents)'!L5*Param_porcs!$H$284,'Porc (Effluents)'!L5*Param_porcs!$H$284+'Porc (Effluents)'!L5*(1-Param_porcs!$H$284)*Param_porcs!$H$286)</f>
        <v>6.1889264242424247</v>
      </c>
      <c r="M6" s="954">
        <f>IF('Feuille saisie commune'!$F$23="Oui",'Porc (Effluents)'!M5*Param_porcs!$H$284,'Porc (Effluents)'!M5*Param_porcs!$H$284+'Porc (Effluents)'!M5*(1-Param_porcs!$H$284)*Param_porcs!$H$286)</f>
        <v>8.9839254545454536E-2</v>
      </c>
      <c r="N6" s="954">
        <f>IF('Feuille saisie commune'!$F$23="Oui",'Porc (Effluents)'!N5*Param_porcs!$H$284,'Porc (Effluents)'!N5*Param_porcs!$H$284+'Porc (Effluents)'!N5*(1-Param_porcs!$H$284)*Param_porcs!$H$286)</f>
        <v>0.4791426909090909</v>
      </c>
    </row>
    <row r="7" spans="1:31" x14ac:dyDescent="0.25">
      <c r="B7" s="607" t="str">
        <f>IF('Feuille saisie commune'!C15&lt;&gt;"", 'Feuille saisie commune'!C15,"-")</f>
        <v>Truies et verrats</v>
      </c>
      <c r="C7" s="610" t="str">
        <f>IF('Feuille saisie commune'!F15&lt;&gt;"", 'Feuille saisie commune'!F15,"-")</f>
        <v>Fosse stockage 2</v>
      </c>
      <c r="D7" s="962"/>
      <c r="E7" s="506">
        <f>IF(I16+I24+I32+I40&lt;&gt;0,I16+I24+I32+I40,I7)</f>
        <v>1268.7299169696969</v>
      </c>
      <c r="F7" s="966" t="s">
        <v>499</v>
      </c>
      <c r="G7" s="967" t="s">
        <v>497</v>
      </c>
      <c r="H7" s="890">
        <f>IF(B7="Truies et verrats", IF(F7="Alimentation soupe - sans repas d'eau", IF(G7="Intense", L$6*L$7*L$16,0)))+IF(B7="Truies et verrats", IF(F7="Alimentation soupe - sans repas d'eau", IF(G7="Normal", $L$6*$L$7*$L$17,0)))+IF(B7="Truies et verrats", IF(F7="Alimentation soupe - sans repas d'eau", IF(G7="Econome en eau", $L$6*$L$7*$L$18,0)))+ IF(B7="Truies et verrats", IF(F7="Alimentation soupe - avec repas d'eau", IF(G7="Intense", $L$6*$L$8*$L$16,0)))+IF(B7="Truies et verrats", IF(F7="Alimentation soupe - avec repas d'eau", IF(G7="Normal", $L$6*$L$8*$L$17,0)))+IF(B7="Truies et verrats", IF(F7="Alimentation soupe - avec repas d'eau", IF(G7="Econome en eau", $L$6*$L$8*$L$18,0)))+ IF(B7="Truies et verrats", IF(F7="Alimentation sèche - eau rationnée ", IF(G7="Intense", $L$6*$L$9*$L$16,0)))+IF(B7="Truies et verrats", IF(F7="Alimentation sèche - eau rationnée ", IF(G7="Normal", $L$6*$L$9*$L$17,0)))+IF(B7="Truies et verrats", IF(F7="Alimentation sèche - eau rationnée ", IF(G7="Econome en eau", $L$6*$L$9*$L$18,0)))+IF(B7="Truies et verrats", IF(F7="Alimentation sèche - eau à volonté avec récupérateur", IF(G7="Intense", $L$6*$L$10*$L$16,0)))+IF(B7="Truies et verrats", IF(F7="Alimentation sèche - eau à volonté avec récupérateur", IF(G7="Normal", $L$6*$L$10*$L$17,0)))+IF(B7="Truies et verrats", IF(F7="Alimentation sèche - eau à volonté avec récupérateur", IF(G7="Econome en eau", $L$6*$L$10*$L$18,0)))+ IF(B7="Truies et verrats", IF(F7="Alimentation sèche - eau à volonté sans récupérateur (abreuvoir bien réglé)", IF(G7="Intense", $L$6*$L$11*$L$16,0)))+IF(B7="Truies et verrats", IF(F7="Alimentation sèche - eau à volonté sans récupérateur (abreuvoir bien réglé)", IF(G7="Normal", $L$6*$L$11*$L$17,0)))+IF(B7="Truies et verrats", IF(F7="Alimentation sèche - eau à volonté sans récupérateur (abreuvoir bien réglé)", IF(G7="Econome en eau", $L$6*$L$11*$L$18,0)))+ IF(B7="Truies et verrats", IF(F7="Alimentation sèche - eau à volonté sans récupérateur (abreuvoir non réglé)", IF(G7="Intense", $L$6*$L$12*$L$16,0)))+IF(B7="Truies et verrats", IF(F7="Alimentation sèche - eau à volonté sans récupérateur (abreuvoir non réglé)", IF(G7="Normal", $L$6*$L$12*$L$17,0)))+IF(B7="Truies et verrats", IF(F7="Alimentation sèche - eau à volonté sans récupérateur (abreuvoir non réglé)", IF(G7="Econome en eau", $L$6*$L$12*$L$18,0)))+                                                                                                    IF(B7="Post-sevrage", IF(F7="Alimentation soupe - sans repas d'eau", IF(G7="Intense", $M$6*$M$7*$L$16,0)))+IF(B7="Post-sevrage", IF(F7="Alimentation soupe - sans repas d'eau", IF(G7="Normal", $M$6*$M$7*$L$17,0)))+IF(B7="Post-sevrage", IF(F7="Alimentation soupe - sans repas d'eau", IF(G7="Econome en eau", $M$6*$M$7*$L$18,0)))+ IF(B7="Post-sevrage", IF(F7="Alimentation soupe - avec repas d'eau", IF(G7="Intense", $M$6*$M$8*$L$16,0)))+IF(B7="Post-sevrage", IF(F7="Alimentation soupe - avec repas d'eau", IF(G7="Normal", $M$6*$M$8*$L$17,0)))+IF(B7="Post-sevrage", IF(F7="Alimentation soupe - avec repas d'eau", IF(G7="Econome en eau", $M$6*$M$8*$L$18,0)))+ IF(B7="Post-sevrage", IF(F7="Alimentation sèche - eau rationnée ", IF(G7="Intense", $M$6*$M$9*$L$16,0)))+IF(B7="Post-sevrage", IF(F7="Alimentation sèche - eau rationnée ", IF(G7="Normal", $M$6*$M$9*$L$17,0)))+IF(B7="Post-sevrage", IF(F7="Alimentation sèche - eau rationnée ", IF(G7="Econome en eau", $M$6*$M$9*$L$18,0)))+IF(B7="Post-sevrage", IF(F7="Alimentation sèche - eau à volonté avec récupérateur", IF(G7="Intense", $M$6*$M$10*$L$16,0)))+IF(B7="Post-sevrage", IF(F7="Alimentation sèche - eau à volonté avec récupérateur", IF(G7="Normal", $M$6*$M$10*$L$17,0)))+IF(B7="Post-sevrage", IF(F7="Alimentation sèche - eau à volonté avec récupérateur", IF(G7="Econome en eau", $M$6*$M$10*$L$18,0)))+ IF(B7="Post-sevrage", IF(F7="Alimentation sèche - eau à volonté sans récupérateur (abreuvoir bien réglé)", IF(G7="Intense", $M$6*$M$11*$L$16,0)))+IF(B7="Post-sevrage", IF(F7="Alimentation sèche - eau à volonté sans récupérateur (abreuvoir bien réglé)", IF(G7="Normal", $M$6*$M$11*$L$17,0)))+IF(B7="Post-sevrage", IF(F7="Alimentation sèche - eau à volonté sans récupérateur (abreuvoir bien réglé)", IF(G7="Econome en eau", $M$6*$M$11*$L$18,0)))+ IF(B7="Post-sevrage", IF(F7="Alimentation sèche - eau à volonté sans récupérateur (abreuvoir non réglé)", IF(G7="Intense", $M$6*$M$12*$L$16,0)))+IF(B7="Post-sevrage", IF(F7="Alimentation sèche - eau à volonté sans récupérateur (abreuvoir non réglé)", IF(G7="Normal", $M$6*$M$12*$L$17,0)))+IF(B7="Post-sevrage", IF(F7="Alimentation sèche - eau à volonté sans récupérateur (abreuvoir non réglé)", IF(G7="Econome en eau", $M$6*$M$12*$L$18,0)))+                                 IF(B7="Porcs charcutiers", IF(F7="Alimentation soupe - sans repas d'eau", IF(G7="Intense", $N$6*$N$7*$L$16,0)))+IF(B7="Porcs charcutiers", IF(F7="Alimentation soupe - sans repas d'eau", IF(G7="Normal", $N$6*$N$7*$L$17,0)))+IF(B7="Porcs charcutiers", IF(F7="Alimentation soupe - sans repas d'eau", IF(G7="Econome en eau", $N$6*$N$7*$L$18,0)))+ IF(B7="Porcs charcutiers", IF(F7="Alimentation soupe - avec repas d'eau", IF(G7="Intense", $N$6*$N$8*$L$16,0)))+IF(B7="Porcs charcutiers", IF(F7="Alimentation soupe - avec repas d'eau", IF(G7="Normal", $N$6*$N$8*$L$17,0)))+IF(B7="Porcs charcutiers", IF(F7="Alimentation soupe - avec repas d'eau", IF(G7="Econome en eau", $N$6*$N$8*$L$18,0)))+ IF(B7="Porcs charcutiers", IF(F7="Alimentation sèche - eau rationnée ", IF(G7="Intense", $N$6*$N$9*$L$16,0)))+IF(B7="Porcs charcutiers", IF(F7="Alimentation sèche - eau rationnée ", IF(G7="Normal", $N$6*$N$9*$L$17,0)))+IF(B7="Porcs charcutiers", IF(F7="Alimentation sèche - eau rationnée ", IF(G7="Econome en eau", $N$6*$N$9*$L$18,0)))+IF(B7="Porcs charcutiers", IF(F7="Alimentation sèche - eau à volonté avec récupérateur", IF(G7="Intense", $N$6*$N$10*$L$16,0)))+IF(B7="Porcs charcutiers", IF(F7="Alimentation sèche - eau à volonté avec récupérateur", IF(G7="Normal", $N$6*$N$10*$L$17,0)))+IF(B7="Porcs charcutiers", IF(F7="Alimentation sèche - eau à volonté avec récupérateur", IF(G7="Econome en eau", $N$6*$N$10*$L$18,0)))+ IF(B7="Porcs charcutiers", IF(F7="Alimentation sèche - eau à volonté sans récupérateur (abreuvoir bien réglé)", IF(G7="Intense", $N$6*$N$11*$L$16,0)))+IF(B7="Porcs charcutiers", IF(F7="Alimentation sèche - eau à volonté sans récupérateur (abreuvoir bien réglé)", IF(G7="Normal", $N$6*$N$11*$L$17,0)))+IF(B7="Porcs charcutiers", IF(F7="Alimentation sèche - eau à volonté sans récupérateur (abreuvoir bien réglé)", IF(G7="Econome en eau", $N$6*$N$11*$L$18,0)))+ IF(B7="Porcs charcutiers", IF(F7="Alimentation sèche - eau à volonté sans récupérateur (abreuvoir non réglé)", IF(G7="Intense", $N$6*$N$12*$L$16,0)))+IF(B7="Porcs charcutiers", IF(F7="Alimentation sèche - eau à volonté sans récupérateur (abreuvoir non réglé)", IF(G7="Normal", $N$6*$N$12*$L$17,0)))+IF(B7="Porcs charcutiers", IF(F7="Alimentation sèche - eau à volonté sans récupérateur (abreuvoir non réglé)", IF(G7="Econome en eau", $N$6*$N$12*$L$18,0)))</f>
        <v>6.3436495848484844</v>
      </c>
      <c r="I7" s="363">
        <f>IF(B7="Post-sevrage", H7*('Porc (Effectif détaillé)'!$D$43-'Porc (Effectif détaillé)'!$C$43+'Porc (Effectif détaillé)'!$C$50+'Porc (Effectif détaillé)'!$C$51+'Porc (Effectif détaillé)'!$C$52-'Porc (Effectif détaillé)'!$C$59),0)+IF(B7="Porcs charcutiers", H7*(('Porc (Effectif détaillé)'!$D$44-'Porc (Effectif détaillé)'!$C$44)/2+'Porc (Effectif détaillé)'!$C$51+'Porc (Effectif détaillé)'!$C$52),0)+IF(B7="Truies et verrats", H7*(('Porc (Effectif détaillé)'!$D$41+'Porc (Effectif détaillé)'!$C$41+'Porc (Effectif détaillé)'!$C$42+'Porc (Effectif détaillé)'!$D$42)/2),0)</f>
        <v>1268.7299169696969</v>
      </c>
      <c r="K7" s="907" t="s">
        <v>621</v>
      </c>
      <c r="L7" s="937">
        <v>0.97499999999999998</v>
      </c>
      <c r="M7" s="937">
        <v>0.97499999999999998</v>
      </c>
      <c r="N7" s="937">
        <v>0.95</v>
      </c>
    </row>
    <row r="8" spans="1:31" x14ac:dyDescent="0.25">
      <c r="B8" s="608" t="str">
        <f>IF('Feuille saisie commune'!C16&lt;&gt;"", 'Feuille saisie commune'!C16,"-")</f>
        <v>Post-sevrage</v>
      </c>
      <c r="C8" s="611" t="str">
        <f>IF('Feuille saisie commune'!F16&lt;&gt;"", 'Feuille saisie commune'!F16,"-")</f>
        <v>Fumière (fumier paille compostée)</v>
      </c>
      <c r="D8" s="963">
        <v>100</v>
      </c>
      <c r="E8" s="507">
        <f t="shared" ref="E8" si="0">IF(I17+I25+I33+I41&lt;&gt;0,I17+I25+I33+I41,I8)</f>
        <v>77.414399999999986</v>
      </c>
      <c r="F8" s="968" t="s">
        <v>1015</v>
      </c>
      <c r="G8" s="969" t="s">
        <v>952</v>
      </c>
      <c r="H8" s="890">
        <f>IF(B8="Truies et verrats", IF(F8="Alimentation soupe - sans repas d'eau", IF(G8="Intense", L$6*L$7*L$16,0)))+IF(B8="Truies et verrats", IF(F8="Alimentation soupe - sans repas d'eau", IF(G8="Normal", $L$6*$L$7*$L$17,0)))+IF(B8="Truies et verrats", IF(F8="Alimentation soupe - sans repas d'eau", IF(G8="Econome en eau", $L$6*$L$7*$L$18,0)))+ IF(B8="Truies et verrats", IF(F8="Alimentation soupe - avec repas d'eau", IF(G8="Intense", $L$6*$L$8*$L$16,0)))+IF(B8="Truies et verrats", IF(F8="Alimentation soupe - avec repas d'eau", IF(G8="Normal", $L$6*$L$8*$L$17,0)))+IF(B8="Truies et verrats", IF(F8="Alimentation soupe - avec repas d'eau", IF(G8="Econome en eau", $L$6*$L$8*$L$18,0)))+ IF(B8="Truies et verrats", IF(F8="Alimentation sèche - eau rationnée ", IF(G8="Intense", $L$6*$L$9*$L$16,0)))+IF(B8="Truies et verrats", IF(F8="Alimentation sèche - eau rationnée ", IF(G8="Normal", $L$6*$L$9*$L$17,0)))+IF(B8="Truies et verrats", IF(F8="Alimentation sèche - eau rationnée ", IF(G8="Econome en eau", $L$6*$L$9*$L$18,0)))+IF(B8="Truies et verrats", IF(F8="Alimentation sèche - eau à volonté avec récupérateur", IF(G8="Intense", $L$6*$L$10*$L$16,0)))+IF(B8="Truies et verrats", IF(F8="Alimentation sèche - eau à volonté avec récupérateur", IF(G8="Normal", $L$6*$L$10*$L$17,0)))+IF(B8="Truies et verrats", IF(F8="Alimentation sèche - eau à volonté avec récupérateur", IF(G8="Econome en eau", $L$6*$L$10*$L$18,0)))+ IF(B8="Truies et verrats", IF(F8="Alimentation sèche - eau à volonté sans récupérateur (abreuvoir bien réglé)", IF(G8="Intense", $L$6*$L$11*$L$16,0)))+IF(B8="Truies et verrats", IF(F8="Alimentation sèche - eau à volonté sans récupérateur (abreuvoir bien réglé)", IF(G8="Normal", $L$6*$L$11*$L$17,0)))+IF(B8="Truies et verrats", IF(F8="Alimentation sèche - eau à volonté sans récupérateur (abreuvoir bien réglé)", IF(G8="Econome en eau", $L$6*$L$11*$L$18,0)))+ IF(B8="Truies et verrats", IF(F8="Alimentation sèche - eau à volonté sans récupérateur (abreuvoir non réglé)", IF(G8="Intense", $L$6*$L$12*$L$16,0)))+IF(B8="Truies et verrats", IF(F8="Alimentation sèche - eau à volonté sans récupérateur (abreuvoir non réglé)", IF(G8="Normal", $L$6*$L$12*$L$17,0)))+IF(B8="Truies et verrats", IF(F8="Alimentation sèche - eau à volonté sans récupérateur (abreuvoir non réglé)", IF(G8="Econome en eau", $L$6*$L$12*$L$18,0)))+                                                                                                    IF(B8="Post-sevrage", IF(F8="Alimentation soupe - sans repas d'eau", IF(G8="Intense", $M$6*$M$7*$L$16,0)))+IF(B8="Post-sevrage", IF(F8="Alimentation soupe - sans repas d'eau", IF(G8="Normal", $M$6*$M$7*$L$17,0)))+IF(B8="Post-sevrage", IF(F8="Alimentation soupe - sans repas d'eau", IF(G8="Econome en eau", $M$6*$M$7*$L$18,0)))+ IF(B8="Post-sevrage", IF(F8="Alimentation soupe - avec repas d'eau", IF(G8="Intense", $M$6*$M$8*$L$16,0)))+IF(B8="Post-sevrage", IF(F8="Alimentation soupe - avec repas d'eau", IF(G8="Normal", $M$6*$M$8*$L$17,0)))+IF(B8="Post-sevrage", IF(F8="Alimentation soupe - avec repas d'eau", IF(G8="Econome en eau", $M$6*$M$8*$L$18,0)))+ IF(B8="Post-sevrage", IF(F8="Alimentation sèche - eau rationnée ", IF(G8="Intense", $M$6*$M$9*$L$16,0)))+IF(B8="Post-sevrage", IF(F8="Alimentation sèche - eau rationnée ", IF(G8="Normal", $M$6*$M$9*$L$17,0)))+IF(B8="Post-sevrage", IF(F8="Alimentation sèche - eau rationnée ", IF(G8="Econome en eau", $M$6*$M$9*$L$18,0)))+IF(B8="Post-sevrage", IF(F8="Alimentation sèche - eau à volonté avec récupérateur", IF(G8="Intense", $M$6*$M$10*$L$16,0)))+IF(B8="Post-sevrage", IF(F8="Alimentation sèche - eau à volonté avec récupérateur", IF(G8="Normal", $M$6*$M$10*$L$17,0)))+IF(B8="Post-sevrage", IF(F8="Alimentation sèche - eau à volonté avec récupérateur", IF(G8="Econome en eau", $M$6*$M$10*$L$18,0)))+ IF(B8="Post-sevrage", IF(F8="Alimentation sèche - eau à volonté sans récupérateur (abreuvoir bien réglé)", IF(G8="Intense", $M$6*$M$11*$L$16,0)))+IF(B8="Post-sevrage", IF(F8="Alimentation sèche - eau à volonté sans récupérateur (abreuvoir bien réglé)", IF(G8="Normal", $M$6*$M$11*$L$17,0)))+IF(B8="Post-sevrage", IF(F8="Alimentation sèche - eau à volonté sans récupérateur (abreuvoir bien réglé)", IF(G8="Econome en eau", $M$6*$M$11*$L$18,0)))+ IF(B8="Post-sevrage", IF(F8="Alimentation sèche - eau à volonté sans récupérateur (abreuvoir non réglé)", IF(G8="Intense", $M$6*$M$12*$L$16,0)))+IF(B8="Post-sevrage", IF(F8="Alimentation sèche - eau à volonté sans récupérateur (abreuvoir non réglé)", IF(G8="Normal", $M$6*$M$12*$L$17,0)))+IF(B8="Post-sevrage", IF(F8="Alimentation sèche - eau à volonté sans récupérateur (abreuvoir non réglé)", IF(G8="Econome en eau", $M$6*$M$12*$L$18,0)))+                                 IF(B8="Porcs charcutiers", IF(F8="Alimentation soupe - sans repas d'eau", IF(G8="Intense", $N$6*$N$7*$L$16,0)))+IF(B8="Porcs charcutiers", IF(F8="Alimentation soupe - sans repas d'eau", IF(G8="Normal", $N$6*$N$7*$L$17,0)))+IF(B8="Porcs charcutiers", IF(F8="Alimentation soupe - sans repas d'eau", IF(G8="Econome en eau", $N$6*$N$7*$L$18,0)))+ IF(B8="Porcs charcutiers", IF(F8="Alimentation soupe - avec repas d'eau", IF(G8="Intense", $N$6*$N$8*$L$16,0)))+IF(B8="Porcs charcutiers", IF(F8="Alimentation soupe - avec repas d'eau", IF(G8="Normal", $N$6*$N$8*$L$17,0)))+IF(B8="Porcs charcutiers", IF(F8="Alimentation soupe - avec repas d'eau", IF(G8="Econome en eau", $N$6*$N$8*$L$18,0)))+ IF(B8="Porcs charcutiers", IF(F8="Alimentation sèche - eau rationnée ", IF(G8="Intense", $N$6*$N$9*$L$16,0)))+IF(B8="Porcs charcutiers", IF(F8="Alimentation sèche - eau rationnée ", IF(G8="Normal", $N$6*$N$9*$L$17,0)))+IF(B8="Porcs charcutiers", IF(F8="Alimentation sèche - eau rationnée ", IF(G8="Econome en eau", $N$6*$N$9*$L$18,0)))+IF(B8="Porcs charcutiers", IF(F8="Alimentation sèche - eau à volonté avec récupérateur", IF(G8="Intense", $N$6*$N$10*$L$16,0)))+IF(B8="Porcs charcutiers", IF(F8="Alimentation sèche - eau à volonté avec récupérateur", IF(G8="Normal", $N$6*$N$10*$L$17,0)))+IF(B8="Porcs charcutiers", IF(F8="Alimentation sèche - eau à volonté avec récupérateur", IF(G8="Econome en eau", $N$6*$N$10*$L$18,0)))+ IF(B8="Porcs charcutiers", IF(F8="Alimentation sèche - eau à volonté sans récupérateur (abreuvoir bien réglé)", IF(G8="Intense", $N$6*$N$11*$L$16,0)))+IF(B8="Porcs charcutiers", IF(F8="Alimentation sèche - eau à volonté sans récupérateur (abreuvoir bien réglé)", IF(G8="Normal", $N$6*$N$11*$L$17,0)))+IF(B8="Porcs charcutiers", IF(F8="Alimentation sèche - eau à volonté sans récupérateur (abreuvoir bien réglé)", IF(G8="Econome en eau", $N$6*$N$11*$L$18,0)))+ IF(B8="Porcs charcutiers", IF(F8="Alimentation sèche - eau à volonté sans récupérateur (abreuvoir non réglé)", IF(G8="Intense", $N$6*$N$12*$L$16,0)))+IF(B8="Porcs charcutiers", IF(F8="Alimentation sèche - eau à volonté sans récupérateur (abreuvoir non réglé)", IF(G8="Normal", $N$6*$N$12*$L$17,0)))+IF(B8="Porcs charcutiers", IF(F8="Alimentation sèche - eau à volonté sans récupérateur (abreuvoir non réglé)", IF(G8="Econome en eau", $N$6*$N$12*$L$18,0)))</f>
        <v>0</v>
      </c>
      <c r="I8" s="363">
        <f>IF(B8="Post-sevrage", H8*('Porc (Effectif détaillé)'!$D$43-'Porc (Effectif détaillé)'!$C$43+'Porc (Effectif détaillé)'!$C$50+'Porc (Effectif détaillé)'!$C$51+'Porc (Effectif détaillé)'!$C$52-'Porc (Effectif détaillé)'!$C$59),0)+IF(B8="Porcs charcutiers", H8*(('Porc (Effectif détaillé)'!$D$44-'Porc (Effectif détaillé)'!$C$44)/2+'Porc (Effectif détaillé)'!$C$51+'Porc (Effectif détaillé)'!$C$52),0)+IF(B8="Truies et verrats", H8*(('Porc (Effectif détaillé)'!$D$41+'Porc (Effectif détaillé)'!$C$41+'Porc (Effectif détaillé)'!$C$42+'Porc (Effectif détaillé)'!$D$42)/2),0)</f>
        <v>0</v>
      </c>
      <c r="K8" s="907" t="s">
        <v>499</v>
      </c>
      <c r="L8" s="937">
        <v>1.0249999999999999</v>
      </c>
      <c r="M8" s="937">
        <v>1</v>
      </c>
      <c r="N8" s="937">
        <v>1.05</v>
      </c>
    </row>
    <row r="9" spans="1:31" x14ac:dyDescent="0.25">
      <c r="B9" s="609" t="str">
        <f>IF('Feuille saisie commune'!C17&lt;&gt;"", 'Feuille saisie commune'!C17,"-")</f>
        <v>Porcs charcutiers</v>
      </c>
      <c r="C9" s="612" t="str">
        <f>IF('Feuille saisie commune'!F17&lt;&gt;"", 'Feuille saisie commune'!F17,"-")</f>
        <v>Fumière ( litière sciure fraiche )</v>
      </c>
      <c r="D9" s="964"/>
      <c r="E9" s="508">
        <f>IF(I18+I26+I34+I42&lt;&gt;0,I18+I26+I34+I42,I9)</f>
        <v>1043.8400000000001</v>
      </c>
      <c r="F9" s="970" t="s">
        <v>1014</v>
      </c>
      <c r="G9" s="971"/>
      <c r="H9" s="890">
        <f>IF(B9="Truies et verrats", IF(F9="Alimentation soupe - sans repas d'eau", IF(G9="Intense", L$6*L$7*L$16,0)))+IF(B9="Truies et verrats", IF(F9="Alimentation soupe - sans repas d'eau", IF(G9="Normal", $L$6*$L$7*$L$17,0)))+IF(B9="Truies et verrats", IF(F9="Alimentation soupe - sans repas d'eau", IF(G9="Econome en eau", $L$6*$L$7*$L$18,0)))+ IF(B9="Truies et verrats", IF(F9="Alimentation soupe - avec repas d'eau", IF(G9="Intense", $L$6*$L$8*$L$16,0)))+IF(B9="Truies et verrats", IF(F9="Alimentation soupe - avec repas d'eau", IF(G9="Normal", $L$6*$L$8*$L$17,0)))+IF(B9="Truies et verrats", IF(F9="Alimentation soupe - avec repas d'eau", IF(G9="Econome en eau", $L$6*$L$8*$L$18,0)))+ IF(B9="Truies et verrats", IF(F9="Alimentation sèche - eau rationnée ", IF(G9="Intense", $L$6*$L$9*$L$16,0)))+IF(B9="Truies et verrats", IF(F9="Alimentation sèche - eau rationnée ", IF(G9="Normal", $L$6*$L$9*$L$17,0)))+IF(B9="Truies et verrats", IF(F9="Alimentation sèche - eau rationnée ", IF(G9="Econome en eau", $L$6*$L$9*$L$18,0)))+IF(B9="Truies et verrats", IF(F9="Alimentation sèche - eau à volonté avec récupérateur", IF(G9="Intense", $L$6*$L$10*$L$16,0)))+IF(B9="Truies et verrats", IF(F9="Alimentation sèche - eau à volonté avec récupérateur", IF(G9="Normal", $L$6*$L$10*$L$17,0)))+IF(B9="Truies et verrats", IF(F9="Alimentation sèche - eau à volonté avec récupérateur", IF(G9="Econome en eau", $L$6*$L$10*$L$18,0)))+ IF(B9="Truies et verrats", IF(F9="Alimentation sèche - eau à volonté sans récupérateur (abreuvoir bien réglé)", IF(G9="Intense", $L$6*$L$11*$L$16,0)))+IF(B9="Truies et verrats", IF(F9="Alimentation sèche - eau à volonté sans récupérateur (abreuvoir bien réglé)", IF(G9="Normal", $L$6*$L$11*$L$17,0)))+IF(B9="Truies et verrats", IF(F9="Alimentation sèche - eau à volonté sans récupérateur (abreuvoir bien réglé)", IF(G9="Econome en eau", $L$6*$L$11*$L$18,0)))+ IF(B9="Truies et verrats", IF(F9="Alimentation sèche - eau à volonté sans récupérateur (abreuvoir non réglé)", IF(G9="Intense", $L$6*$L$12*$L$16,0)))+IF(B9="Truies et verrats", IF(F9="Alimentation sèche - eau à volonté sans récupérateur (abreuvoir non réglé)", IF(G9="Normal", $L$6*$L$12*$L$17,0)))+IF(B9="Truies et verrats", IF(F9="Alimentation sèche - eau à volonté sans récupérateur (abreuvoir non réglé)", IF(G9="Econome en eau", $L$6*$L$12*$L$18,0)))+                                                                                                    IF(B9="Post-sevrage", IF(F9="Alimentation soupe - sans repas d'eau", IF(G9="Intense", $M$6*$M$7*$L$16,0)))+IF(B9="Post-sevrage", IF(F9="Alimentation soupe - sans repas d'eau", IF(G9="Normal", $M$6*$M$7*$L$17,0)))+IF(B9="Post-sevrage", IF(F9="Alimentation soupe - sans repas d'eau", IF(G9="Econome en eau", $M$6*$M$7*$L$18,0)))+ IF(B9="Post-sevrage", IF(F9="Alimentation soupe - avec repas d'eau", IF(G9="Intense", $M$6*$M$8*$L$16,0)))+IF(B9="Post-sevrage", IF(F9="Alimentation soupe - avec repas d'eau", IF(G9="Normal", $M$6*$M$8*$L$17,0)))+IF(B9="Post-sevrage", IF(F9="Alimentation soupe - avec repas d'eau", IF(G9="Econome en eau", $M$6*$M$8*$L$18,0)))+ IF(B9="Post-sevrage", IF(F9="Alimentation sèche - eau rationnée ", IF(G9="Intense", $M$6*$M$9*$L$16,0)))+IF(B9="Post-sevrage", IF(F9="Alimentation sèche - eau rationnée ", IF(G9="Normal", $M$6*$M$9*$L$17,0)))+IF(B9="Post-sevrage", IF(F9="Alimentation sèche - eau rationnée ", IF(G9="Econome en eau", $M$6*$M$9*$L$18,0)))+IF(B9="Post-sevrage", IF(F9="Alimentation sèche - eau à volonté avec récupérateur", IF(G9="Intense", $M$6*$M$10*$L$16,0)))+IF(B9="Post-sevrage", IF(F9="Alimentation sèche - eau à volonté avec récupérateur", IF(G9="Normal", $M$6*$M$10*$L$17,0)))+IF(B9="Post-sevrage", IF(F9="Alimentation sèche - eau à volonté avec récupérateur", IF(G9="Econome en eau", $M$6*$M$10*$L$18,0)))+ IF(B9="Post-sevrage", IF(F9="Alimentation sèche - eau à volonté sans récupérateur (abreuvoir bien réglé)", IF(G9="Intense", $M$6*$M$11*$L$16,0)))+IF(B9="Post-sevrage", IF(F9="Alimentation sèche - eau à volonté sans récupérateur (abreuvoir bien réglé)", IF(G9="Normal", $M$6*$M$11*$L$17,0)))+IF(B9="Post-sevrage", IF(F9="Alimentation sèche - eau à volonté sans récupérateur (abreuvoir bien réglé)", IF(G9="Econome en eau", $M$6*$M$11*$L$18,0)))+ IF(B9="Post-sevrage", IF(F9="Alimentation sèche - eau à volonté sans récupérateur (abreuvoir non réglé)", IF(G9="Intense", $M$6*$M$12*$L$16,0)))+IF(B9="Post-sevrage", IF(F9="Alimentation sèche - eau à volonté sans récupérateur (abreuvoir non réglé)", IF(G9="Normal", $M$6*$M$12*$L$17,0)))+IF(B9="Post-sevrage", IF(F9="Alimentation sèche - eau à volonté sans récupérateur (abreuvoir non réglé)", IF(G9="Econome en eau", $M$6*$M$12*$L$18,0)))+                                 IF(B9="Porcs charcutiers", IF(F9="Alimentation soupe - sans repas d'eau", IF(G9="Intense", $N$6*$N$7*$L$16,0)))+IF(B9="Porcs charcutiers", IF(F9="Alimentation soupe - sans repas d'eau", IF(G9="Normal", $N$6*$N$7*$L$17,0)))+IF(B9="Porcs charcutiers", IF(F9="Alimentation soupe - sans repas d'eau", IF(G9="Econome en eau", $N$6*$N$7*$L$18,0)))+ IF(B9="Porcs charcutiers", IF(F9="Alimentation soupe - avec repas d'eau", IF(G9="Intense", $N$6*$N$8*$L$16,0)))+IF(B9="Porcs charcutiers", IF(F9="Alimentation soupe - avec repas d'eau", IF(G9="Normal", $N$6*$N$8*$L$17,0)))+IF(B9="Porcs charcutiers", IF(F9="Alimentation soupe - avec repas d'eau", IF(G9="Econome en eau", $N$6*$N$8*$L$18,0)))+ IF(B9="Porcs charcutiers", IF(F9="Alimentation sèche - eau rationnée ", IF(G9="Intense", $N$6*$N$9*$L$16,0)))+IF(B9="Porcs charcutiers", IF(F9="Alimentation sèche - eau rationnée ", IF(G9="Normal", $N$6*$N$9*$L$17,0)))+IF(B9="Porcs charcutiers", IF(F9="Alimentation sèche - eau rationnée ", IF(G9="Econome en eau", $N$6*$N$9*$L$18,0)))+IF(B9="Porcs charcutiers", IF(F9="Alimentation sèche - eau à volonté avec récupérateur", IF(G9="Intense", $N$6*$N$10*$L$16,0)))+IF(B9="Porcs charcutiers", IF(F9="Alimentation sèche - eau à volonté avec récupérateur", IF(G9="Normal", $N$6*$N$10*$L$17,0)))+IF(B9="Porcs charcutiers", IF(F9="Alimentation sèche - eau à volonté avec récupérateur", IF(G9="Econome en eau", $N$6*$N$10*$L$18,0)))+ IF(B9="Porcs charcutiers", IF(F9="Alimentation sèche - eau à volonté sans récupérateur (abreuvoir bien réglé)", IF(G9="Intense", $N$6*$N$11*$L$16,0)))+IF(B9="Porcs charcutiers", IF(F9="Alimentation sèche - eau à volonté sans récupérateur (abreuvoir bien réglé)", IF(G9="Normal", $N$6*$N$11*$L$17,0)))+IF(B9="Porcs charcutiers", IF(F9="Alimentation sèche - eau à volonté sans récupérateur (abreuvoir bien réglé)", IF(G9="Econome en eau", $N$6*$N$11*$L$18,0)))+ IF(B9="Porcs charcutiers", IF(F9="Alimentation sèche - eau à volonté sans récupérateur (abreuvoir non réglé)", IF(G9="Intense", $N$6*$N$12*$L$16,0)))+IF(B9="Porcs charcutiers", IF(F9="Alimentation sèche - eau à volonté sans récupérateur (abreuvoir non réglé)", IF(G9="Normal", $N$6*$N$12*$L$17,0)))+IF(B9="Porcs charcutiers", IF(F9="Alimentation sèche - eau à volonté sans récupérateur (abreuvoir non réglé)", IF(G9="Econome en eau", $N$6*$N$12*$L$18,0)))</f>
        <v>0</v>
      </c>
      <c r="I9" s="363">
        <f>IF(B9="Post-sevrage", H9*('Porc (Effectif détaillé)'!$D$43-'Porc (Effectif détaillé)'!$C$43+'Porc (Effectif détaillé)'!$C$50+'Porc (Effectif détaillé)'!$C$51+'Porc (Effectif détaillé)'!$C$52-'Porc (Effectif détaillé)'!$C$59),0)+IF(B9="Porcs charcutiers", H9*(('Porc (Effectif détaillé)'!$D$44-'Porc (Effectif détaillé)'!$C$44)/2+'Porc (Effectif détaillé)'!$C$51+'Porc (Effectif détaillé)'!$C$52),0)+IF(B9="Truies et verrats", H9*(('Porc (Effectif détaillé)'!$D$41+'Porc (Effectif détaillé)'!$C$41+'Porc (Effectif détaillé)'!$C$42+'Porc (Effectif détaillé)'!$D$42)/2),0)</f>
        <v>0</v>
      </c>
      <c r="K9" s="907" t="s">
        <v>500</v>
      </c>
      <c r="L9" s="937">
        <v>0.97499999999999998</v>
      </c>
      <c r="M9" s="937">
        <v>0.97499999999999998</v>
      </c>
      <c r="N9" s="937">
        <v>1</v>
      </c>
    </row>
    <row r="10" spans="1:31" x14ac:dyDescent="0.25">
      <c r="B10" s="361"/>
      <c r="C10" s="361"/>
      <c r="D10" s="362"/>
      <c r="E10" s="363"/>
      <c r="F10" s="361"/>
      <c r="G10" s="362"/>
      <c r="H10" s="362"/>
      <c r="I10" s="363"/>
      <c r="K10" s="907" t="s">
        <v>501</v>
      </c>
      <c r="L10" s="937">
        <v>1</v>
      </c>
      <c r="M10" s="937">
        <v>0.97499999999999998</v>
      </c>
      <c r="N10" s="937">
        <v>1</v>
      </c>
    </row>
    <row r="11" spans="1:31" x14ac:dyDescent="0.25">
      <c r="C11" s="877" t="s">
        <v>673</v>
      </c>
      <c r="D11" s="965"/>
      <c r="E11" s="542">
        <f>IF('Feuille saisie commune'!F21="Abbeville", Param_porcs!B281,0)+IF('Feuille saisie commune'!F21="Agen",Param_porcs!B282,0)+IF('Feuille saisie commune'!F21="Angers",Param_porcs!B283,0)+IF('Feuille saisie commune'!F21="Bordeaux",Param_porcs!B284,0)+IF('Feuille saisie commune'!F21="Bourges",Param_porcs!B285,0)+IF('Feuille saisie commune'!F21="Brest",Param_porcs!B286,0)+IF('Feuille saisie commune'!F21="Caen",Param_porcs!B287,0)+IF('Feuille saisie commune'!F21="Clermont-Ferrand",Param_porcs!B288,0)+IF('Feuille saisie commune'!F21="Dijon",Param_porcs!B289,0)+IF('Feuille saisie commune'!F21="Grenoble",Param_porcs!B290,0)+IF('Feuille saisie commune'!F21="Le Mans",Param_porcs!B291,0)+IF('Feuille saisie commune'!F21="Lille",Param_porcs!B292,0)+IF('Feuille saisie commune'!F21="Limoges", Param_porcs!B293,0)+IF('Feuille saisie commune'!F21="Lyon",Param_porcs!B294,0)+IF('Feuille saisie commune'!F21="Montpellier",Param_porcs!B295,0)+IF('Feuille saisie commune'!F21="Nancy",Param_porcs!B296,0)+IF('Feuille saisie commune'!F21="Nantes",Param_porcs!B297,0)+IF('Feuille saisie commune'!F21="Nice",Param_porcs!B298,0)+IF('Feuille saisie commune'!F21="Orléans", Param_porcs!B299,0)+IF('Feuille saisie commune'!F21="Paris",Param_porcs!B300,0)+IF('Feuille saisie commune'!F21="Poitiers", Param_porcs!B301,0)+IF('Feuille saisie commune'!F21="Rennes",Param_porcs!B302,0)+IF('Feuille saisie commune'!F21="St Brieuc",Param_porcs!B303,0)+IF('Feuille saisie commune'!F21="Strasbourg",Param_porcs!B304,0)+IF('Feuille saisie commune'!F21="Toulouse",Param_porcs!B305,0)+IF('Feuille saisie commune'!F21="Tours",Param_porcs!B306,0)</f>
        <v>739</v>
      </c>
      <c r="F11" s="102" t="s">
        <v>1008</v>
      </c>
      <c r="I11" s="363">
        <f>I7+I8+I9+I10</f>
        <v>1268.7299169696969</v>
      </c>
      <c r="K11" s="907" t="s">
        <v>502</v>
      </c>
      <c r="L11" s="937">
        <v>1.0249999999999999</v>
      </c>
      <c r="M11" s="937">
        <v>1</v>
      </c>
      <c r="N11" s="937">
        <v>1.0249999999999999</v>
      </c>
    </row>
    <row r="12" spans="1:31" x14ac:dyDescent="0.25">
      <c r="G12" s="216"/>
      <c r="K12" s="907" t="s">
        <v>503</v>
      </c>
      <c r="L12" s="937">
        <v>1.2</v>
      </c>
      <c r="M12" s="937">
        <v>1.1000000000000001</v>
      </c>
      <c r="N12" s="937">
        <v>1.2</v>
      </c>
    </row>
    <row r="13" spans="1:31" x14ac:dyDescent="0.25">
      <c r="B13" s="102"/>
      <c r="H13" s="1120" t="s">
        <v>1027</v>
      </c>
      <c r="I13" s="1120"/>
      <c r="L13" s="937"/>
      <c r="M13" s="937"/>
    </row>
    <row r="14" spans="1:31" x14ac:dyDescent="0.25">
      <c r="B14" s="102"/>
      <c r="G14" s="889"/>
      <c r="H14" s="1120" t="s">
        <v>652</v>
      </c>
      <c r="I14" s="1120"/>
      <c r="K14" s="936" t="s">
        <v>495</v>
      </c>
    </row>
    <row r="15" spans="1:31" x14ac:dyDescent="0.25">
      <c r="A15" s="5"/>
      <c r="B15" s="102"/>
      <c r="G15" s="889"/>
      <c r="H15" s="362" t="s">
        <v>622</v>
      </c>
      <c r="I15" s="362" t="s">
        <v>623</v>
      </c>
    </row>
    <row r="16" spans="1:31" x14ac:dyDescent="0.25">
      <c r="B16" s="102"/>
      <c r="D16" s="509"/>
      <c r="E16" s="509"/>
      <c r="G16" s="892" t="str">
        <f>B7</f>
        <v>Truies et verrats</v>
      </c>
      <c r="H16" s="362">
        <f xml:space="preserve"> (IF(Param_porcs!G16=31, IF(F7="DAC (truie) ou alim. sèche (porc charcutier)",Param_porcs!G358,0)) + IF(Param_porcs!G16=31, IF(F7="Réfectoire + courette (truie) ou alim. humide (porc charcutier)", Param_porcs!G359,0))+ IF(Param_porcs!G16=31, IF(F7="Autres cas",Param_porcs!G360,0))+ IF(Param_porcs!G16=32, IF(F7="DAC (truie) ou alim. sèche (porc charcutier)", Param_porcs!G361,0)) + IF(Param_porcs!G16=32, IF(F7="Réfectoire + courette (truie) ou alim. humide (porc charcutier)", Param_porcs!G362,0))+ IF(Param_porcs!G16=32, IF(F7="Autres cas", Param_porcs!G363,0))+IF(Param_porcs!G16=33, Param_porcs!G357,0))/1000</f>
        <v>0</v>
      </c>
      <c r="I16" s="362">
        <f>(IF(Param_porcs!G16=31, ('Porc (Effectif détaillé)'!$D$41+'Porc (Effectif détaillé)'!$C$41+'Porc (Effectif détaillé)'!$C$42+'Porc (Effectif détaillé)'!$D$42)/2,0)+IF(Param_porcs!G16=32,('Porc (Effectif détaillé)'!$C$51+'Porc (Effectif détaillé)'!$C$52),0)+IF(Param_porcs!G16=33,('Porc (Effectif détaillé)'!$C$50+'Porc (Effectif détaillé)'!$C$52+'Porc (Effectif détaillé)'!$C$51-'Porc (Effectif détaillé)'!$C$59),0))*H16</f>
        <v>0</v>
      </c>
      <c r="J16" s="907" t="s">
        <v>1024</v>
      </c>
      <c r="K16" s="907" t="s">
        <v>496</v>
      </c>
      <c r="L16" s="937">
        <v>1.05</v>
      </c>
    </row>
    <row r="17" spans="2:24" x14ac:dyDescent="0.25">
      <c r="B17" s="541"/>
      <c r="G17" s="892" t="str">
        <f>B8</f>
        <v>Post-sevrage</v>
      </c>
      <c r="H17" s="362">
        <f xml:space="preserve"> (IF(Param_porcs!G17=31, IF(F8="DAC (truie) ou alim. sèche (porc charcutier)",Param_porcs!G358,0)) + IF(Param_porcs!G17=31, IF(F8="Réfectoire + courette (truie) ou alim. humide (porc charcutier)", Param_porcs!G359,0))+ IF(Param_porcs!G17=31, IF(F8="Autres cas",Param_porcs!G360,0))+ IF(Param_porcs!G17=32, IF(F8="DAC (truie) ou alim. sèche (porc charcutier)", Param_porcs!G361,0)) + IF(Param_porcs!G17=32, IF(F8="Réfectoire + courette (truie) ou alim. humide (porc charcutier)",Param_porcs!G362,0))+ IF(Param_porcs!G17=32, IF(F8="Autres cas",Param_porcs!G363,0))+IF(Param_porcs!G17=33,Param_porcs!G357,0))/1000</f>
        <v>0</v>
      </c>
      <c r="I17" s="362">
        <f>(IF(Param_porcs!G17=31, ('Porc (Effectif détaillé)'!$D$41+'Porc (Effectif détaillé)'!$C$41+'Porc (Effectif détaillé)'!$C$42+'Porc (Effectif détaillé)'!$D$42)/2,0)+IF(Param_porcs!G17=32,('Porc (Effectif détaillé)'!$C$51+'Porc (Effectif détaillé)'!$C$52),0)+IF(Param_porcs!G17=33,('Porc (Effectif détaillé)'!$C$50+'Porc (Effectif détaillé)'!$C$52+'Porc (Effectif détaillé)'!$C$51-'Porc (Effectif détaillé)'!$C$59),0))*H17</f>
        <v>0</v>
      </c>
      <c r="J17" s="907" t="s">
        <v>1025</v>
      </c>
      <c r="K17" s="907" t="s">
        <v>497</v>
      </c>
      <c r="L17" s="937">
        <v>1</v>
      </c>
    </row>
    <row r="18" spans="2:24" x14ac:dyDescent="0.25">
      <c r="B18" s="888"/>
      <c r="C18" s="888"/>
      <c r="D18" s="888"/>
      <c r="E18" s="888"/>
      <c r="G18" s="892" t="str">
        <f>B9</f>
        <v>Porcs charcutiers</v>
      </c>
      <c r="H18" s="362">
        <f xml:space="preserve"> (IF(Param_porcs!G18=31, IF(F9="DAC (truie) ou alim. sèche (porc charcutier)", Param_porcs!G358,0)) + IF(Param_porcs!G18=31, IF(F9="Réfectoire + courette (truie) ou alim. humide (porc charcutier)", Param_porcs!G359,0))+ IF(Param_porcs!G18=31, IF(F9="Autres cas",Param_porcs!G360,0))+ IF(Param_porcs!G18=32, IF(F9="DAC (truie) ou alim. sèche (porc charcutier)",Param_porcs!G361,0)) + IF(Param_porcs!G18=32, IF(F9="Réfectoire + courette (truie) ou alim. humide (porc charcutier)", Param_porcs!G362,0))+ IF(Param_porcs!G18=32, IF(F9="Autres cas",Param_porcs!G363,0))+IF(Param_porcs!G18=33, Param_porcs!G357,0))/1000</f>
        <v>0</v>
      </c>
      <c r="I18" s="362">
        <f>(IF(Param_porcs!G18=31, ('Porc (Effectif détaillé)'!$D$41+'Porc (Effectif détaillé)'!$C$41+'Porc (Effectif détaillé)'!$C$42+'Porc (Effectif détaillé)'!$D$42)/2,0)+IF(Param_porcs!G18=32,('Porc (Effectif détaillé)'!$C$51+'Porc (Effectif détaillé)'!$C$52),0)+IF(Param_porcs!G18=33,('Porc (Effectif détaillé)'!$C$50+'Porc (Effectif détaillé)'!$C$52+'Porc (Effectif détaillé)'!$C$51-'Porc (Effectif détaillé)'!$C$59),0))*H18</f>
        <v>0</v>
      </c>
      <c r="J18" s="907" t="s">
        <v>1026</v>
      </c>
      <c r="K18" s="907" t="s">
        <v>498</v>
      </c>
      <c r="L18" s="937">
        <v>0.95</v>
      </c>
    </row>
    <row r="19" spans="2:24" x14ac:dyDescent="0.25">
      <c r="B19" s="888"/>
      <c r="C19" s="888"/>
      <c r="D19" s="888"/>
      <c r="E19" s="888"/>
      <c r="G19" s="889"/>
      <c r="H19" s="362"/>
      <c r="I19" s="362"/>
    </row>
    <row r="20" spans="2:24" x14ac:dyDescent="0.25">
      <c r="B20" s="888"/>
      <c r="C20" s="888" t="s">
        <v>984</v>
      </c>
      <c r="D20" s="888"/>
      <c r="E20" s="888"/>
      <c r="F20" s="602"/>
      <c r="G20" s="889"/>
      <c r="L20" s="940" t="s">
        <v>515</v>
      </c>
      <c r="M20" s="940" t="s">
        <v>516</v>
      </c>
    </row>
    <row r="21" spans="2:24" x14ac:dyDescent="0.25">
      <c r="B21" s="888"/>
      <c r="C21" s="888" t="str">
        <f>LEFT(C7,2)</f>
        <v>Fo</v>
      </c>
      <c r="D21" s="888" t="str">
        <f>IF(RIGHT(C7,2)=" )","Rien",IF(RIGHT(C7,2)="e)","e","Al"))</f>
        <v>Al</v>
      </c>
      <c r="E21" s="888"/>
      <c r="G21" s="889"/>
      <c r="H21" s="1120" t="s">
        <v>1027</v>
      </c>
      <c r="I21" s="1120"/>
      <c r="K21" s="936" t="s">
        <v>627</v>
      </c>
      <c r="L21" s="940"/>
      <c r="M21" s="940"/>
    </row>
    <row r="22" spans="2:24" x14ac:dyDescent="0.25">
      <c r="B22" s="888"/>
      <c r="C22" s="888" t="str">
        <f>LEFT(C8,2)</f>
        <v>Fu</v>
      </c>
      <c r="D22" s="888" t="str">
        <f>IF(RIGHT(C8,2)=" )","Rien",IF(RIGHT(C8,2)="e)","e","Al"))</f>
        <v>e</v>
      </c>
      <c r="E22" s="888"/>
      <c r="G22" s="889"/>
      <c r="H22" s="1120" t="s">
        <v>653</v>
      </c>
      <c r="I22" s="1120"/>
      <c r="K22" s="946" t="s">
        <v>658</v>
      </c>
      <c r="L22" s="941">
        <f>(IF(Param_porcs!$G$16=11,('Porc (Effectif détaillé)'!$D$41+'Porc (Effectif détaillé)'!$C$41+'Porc (Effectif détaillé)'!$C$42+'Porc (Effectif détaillé)'!$D$42)/2*1200,0)+IF(Param_porcs!$G$16=12,('Porc (Effectif détaillé)'!$D$44-'Porc (Effectif détaillé)'!$C$44+'Porc (Effectif détaillé)'!$C$51+'Porc (Effectif détaillé)'!$C$52)*234.5,0)+IF(Param_porcs!$G$16=13,('Porc (Effectif détaillé)'!$D$43-'Porc (Effectif détaillé)'!$C$43+'Porc (Effectif détaillé)'!$C$50+'Porc (Effectif détaillé)'!$C$51+'Porc (Effectif détaillé)'!$C$52)*38.28,0)+IF(Param_porcs!$G$17=11,('Porc (Effectif détaillé)'!$D$41+'Porc (Effectif détaillé)'!$C$41+'Porc (Effectif détaillé)'!$C$42+'Porc (Effectif détaillé)'!$D$42)/2*1200,0)+IF(Param_porcs!$G$17=12,('Porc (Effectif détaillé)'!$D$44-'Porc (Effectif détaillé)'!$C$44+'Porc (Effectif détaillé)'!$C$51+'Porc (Effectif détaillé)'!$C$52)*234.5,0)+IF(Param_porcs!$G$17=13,('Porc (Effectif détaillé)'!$D$43-'Porc (Effectif détaillé)'!$C$43+'Porc (Effectif détaillé)'!$C$50+'Porc (Effectif détaillé)'!$C$51+'Porc (Effectif détaillé)'!$C$52)*38.28,0)+IF(Param_porcs!$G$18=11,('Porc (Effectif détaillé)'!$D$41+'Porc (Effectif détaillé)'!$C$41+'Porc (Effectif détaillé)'!$C$42+'Porc (Effectif détaillé)'!$D$42)/2*1200,0)+IF(Param_porcs!$G$18=12,('Porc (Effectif détaillé)'!$D$44-'Porc (Effectif détaillé)'!$C$44+'Porc (Effectif détaillé)'!$C$51+'Porc (Effectif détaillé)'!$C$52)*234.5,0)+IF(Param_porcs!$G$18=13,('Porc (Effectif détaillé)'!$D$43-'Porc (Effectif détaillé)'!$C$43+'Porc (Effectif détaillé)'!$C$50+'Porc (Effectif détaillé)'!$C$51+'Porc (Effectif détaillé)'!$C$52)*38.28,0))*L32*0.61</f>
        <v>0</v>
      </c>
      <c r="M22" s="941">
        <f>(IF(Param_porcs!$G$16=21,('Porc (Effectif détaillé)'!$D$41+'Porc (Effectif détaillé)'!$C$41+'Porc (Effectif détaillé)'!$C$42+'Porc (Effectif détaillé)'!$D$42)/2*1200,0)+IF(Param_porcs!$G$16=22,('Porc (Effectif détaillé)'!$D$44-'Porc (Effectif détaillé)'!$C$44+'Porc (Effectif détaillé)'!$C$51+'Porc (Effectif détaillé)'!$C$52)*234.5,0)+IF(Param_porcs!$G$16=23,('Porc (Effectif détaillé)'!$D$43-'Porc (Effectif détaillé)'!$C$43+'Porc (Effectif détaillé)'!$C$50+'Porc (Effectif détaillé)'!$C$51+'Porc (Effectif détaillé)'!$C$52)*38.28,0)+IF(Param_porcs!$G$17=21,('Porc (Effectif détaillé)'!$D$41+'Porc (Effectif détaillé)'!$C$41+'Porc (Effectif détaillé)'!$C$42+'Porc (Effectif détaillé)'!$D$42)/2*1200,0)+IF(Param_porcs!$G$17=22,('Porc (Effectif détaillé)'!$D$44-'Porc (Effectif détaillé)'!$C$44+'Porc (Effectif détaillé)'!$C$51+'Porc (Effectif détaillé)'!$C$52)*234.5,0)+IF(Param_porcs!$G$17=23,('Porc (Effectif détaillé)'!$D$43-'Porc (Effectif détaillé)'!$C$43+'Porc (Effectif détaillé)'!$C$50+'Porc (Effectif détaillé)'!$C$51+'Porc (Effectif détaillé)'!$C$52)*38.28,0)+IF(Param_porcs!$G$18=21,('Porc (Effectif détaillé)'!$D$41+'Porc (Effectif détaillé)'!$C$41+'Porc (Effectif détaillé)'!$C$42+'Porc (Effectif détaillé)'!$D$42)/2*1200,0)+IF(Param_porcs!$G$18=22,('Porc (Effectif détaillé)'!$D$44-'Porc (Effectif détaillé)'!$C$44+'Porc (Effectif détaillé)'!$C$51+'Porc (Effectif détaillé)'!$C$52)*234.5,0)+IF(Param_porcs!$G$18=23,('Porc (Effectif détaillé)'!$D$43-'Porc (Effectif détaillé)'!$C$43+'Porc (Effectif détaillé)'!$C$50+'Porc (Effectif détaillé)'!$C$51+'Porc (Effectif détaillé)'!$C$52)*38.28,0))*$L$32*0.61</f>
        <v>9580.4160000000011</v>
      </c>
      <c r="N22" s="939"/>
      <c r="O22" s="949"/>
    </row>
    <row r="23" spans="2:24" x14ac:dyDescent="0.25">
      <c r="B23" s="888"/>
      <c r="C23" s="888" t="str">
        <f>LEFT(C9,2)</f>
        <v>Fu</v>
      </c>
      <c r="D23" s="888" t="str">
        <f>IF(RIGHT(C9,2)=" )","Rien",IF(RIGHT(C9,2)="e)","e","Al"))</f>
        <v>Rien</v>
      </c>
      <c r="E23" s="888"/>
      <c r="G23" s="889"/>
      <c r="H23" s="362" t="s">
        <v>622</v>
      </c>
      <c r="I23" s="362" t="s">
        <v>623</v>
      </c>
      <c r="K23" s="945" t="s">
        <v>625</v>
      </c>
      <c r="L23" s="938">
        <f>(IF('Porc (Aliments)'!$A$10="Fosse stockage 1", 'Porc (Aliments)'!$D$15,0)+IF('Porc (Aliments)'!$A$20="Fosse stockage 1",'Porc (Aliments)'!$D$25,0) + IF('Porc (Aliments)'!$A$30="Fosse stockage 1", 'Porc (Aliments)'!$D$35,0))*L32-L24</f>
        <v>0</v>
      </c>
      <c r="M23" s="938">
        <f>(IF('Porc (Aliments)'!$A$10="Fosse stockage 2", 'Porc (Aliments)'!$D$15,0)+IF('Porc (Aliments)'!$A$20="Fosse stockage 2",'Porc (Aliments)'!$D$25,0) + IF('Porc (Aliments)'!$A$30="Fosse stockage 2", 'Porc (Aliments)'!$D$35,0))*L32-M24</f>
        <v>13629.53142857143</v>
      </c>
    </row>
    <row r="24" spans="2:24" x14ac:dyDescent="0.25">
      <c r="B24" s="888"/>
      <c r="C24" s="888"/>
      <c r="D24" s="888"/>
      <c r="E24" s="888"/>
      <c r="G24" s="889" t="str">
        <f>B7</f>
        <v>Truies et verrats</v>
      </c>
      <c r="H24" s="362">
        <f xml:space="preserve"> (IF(Param_porcs!G16=41, IF(F7="DAC (truie) ou alim. sèche (porc charcutier)", Param_porcs!G358,0)) + IF(Param_porcs!G16=41, IF(F7="Réfectoire + courette (truie) ou alim. humide (porc charcutier)", Param_porcs!G359,0))+ IF(Param_porcs!G16=41, IF(F7="Autres cas",Param_porcs!G360,0))+ IF(Param_porcs!G16=42, IF(F7="DAC (truie) ou alim. sèche (porc charcutier)", Param_porcs!G361,0)) + IF(Param_porcs!G16=42, IF(F7="Réfectoire + courette (truie) ou alim. humide (porc charcutier)",Param_porcs!G362,0))+ IF(Param_porcs!G16=42, IF(F7="Autres cas",Param_porcs!G363,0))+IF(Param_porcs!G16=43, Param_porcs!G357,0))/1000*0.48</f>
        <v>0</v>
      </c>
      <c r="I24" s="891">
        <f>(IF(Param_porcs!G16=41, ('Porc (Effectif détaillé)'!$D$41+'Porc (Effectif détaillé)'!$C$41+'Porc (Effectif détaillé)'!$C$42+'Porc (Effectif détaillé)'!$D$42)/2,0)+IF(Param_porcs!G16=42,('Porc (Effectif détaillé)'!$C$51+'Porc (Effectif détaillé)'!$C$52),0)+IF(Param_porcs!G16=43,('Porc (Effectif détaillé)'!$C$50+'Porc (Effectif détaillé)'!$C$52+'Porc (Effectif détaillé)'!$C$51-'Porc (Effectif détaillé)'!$C$59),0))*H24</f>
        <v>0</v>
      </c>
      <c r="J24" s="907" t="s">
        <v>1024</v>
      </c>
      <c r="K24" s="945" t="s">
        <v>626</v>
      </c>
      <c r="L24" s="938">
        <f>12/28*(Param_porcs!$C$43-0.13*Param_porcs!$C$39)</f>
        <v>0</v>
      </c>
      <c r="M24" s="938">
        <f>12/28*(Param_porcs!$C$82-0.13*Param_porcs!$C$78)</f>
        <v>2076.0685714285714</v>
      </c>
    </row>
    <row r="25" spans="2:24" x14ac:dyDescent="0.25">
      <c r="B25" s="888"/>
      <c r="C25" s="888"/>
      <c r="D25" s="888"/>
      <c r="E25" s="888"/>
      <c r="G25" s="889" t="str">
        <f>B8</f>
        <v>Post-sevrage</v>
      </c>
      <c r="H25" s="362">
        <f xml:space="preserve"> (IF(Param_porcs!G17=41, IF(F8="DAC (truie) ou alim. sèche (porc charcutier)",Param_porcs!G358,0)) + IF(Param_porcs!G17=41, IF(F8="Réfectoire + courette (truie) ou alim. humide (porc charcutier)",Param_porcs!G359,0))+ IF(Param_porcs!G17=41, IF(F8="Autres cas",Param_porcs!G360,0))+ IF(Param_porcs!G17=42, IF(F8="DAC (truie) ou alim. sèche (porc charcutier)", Param_porcs!G361,0)) + IF(Param_porcs!G17=42, IF(F8="Réfectoire + courette (truie) ou alim. humide (porc charcutier)",Param_porcs!G362,0))+ IF(Param_porcs!G17=42, IF(F8="Autres cas", Param_porcs!G363,0))+IF(Param_porcs!G17=43, Param_porcs!G357,0))/1000*0.48</f>
        <v>1.7279999999999997E-2</v>
      </c>
      <c r="I25" s="891">
        <f>(IF(Param_porcs!G17=41, ('Porc (Effectif détaillé)'!$D$41+'Porc (Effectif détaillé)'!$C$41+'Porc (Effectif détaillé)'!$C$42+'Porc (Effectif détaillé)'!$D$42)/2,0)+IF(Param_porcs!G17=42,('Porc (Effectif détaillé)'!$C$51+'Porc (Effectif détaillé)'!$C$52),0)+IF(Param_porcs!G17=43,('Porc (Effectif détaillé)'!$C$50+'Porc (Effectif détaillé)'!$C$52+'Porc (Effectif détaillé)'!$C$51-'Porc (Effectif détaillé)'!$C$59),0))*H25</f>
        <v>77.414399999999986</v>
      </c>
      <c r="J25" s="907" t="s">
        <v>1025</v>
      </c>
      <c r="K25" s="945" t="s">
        <v>639</v>
      </c>
      <c r="L25" s="938">
        <f>IF(Param_porcs!$G$16=11,('Porc (Effectif détaillé)'!$D$41+'Porc (Effectif détaillé)'!$C$41)/2*0.0231*365,0)+IF(Param_porcs!$G$16=12,('Porc (Effectif détaillé)'!$D$44-'Porc (Effectif détaillé)'!$C$44+'Porc (Effectif détaillé)'!$C$51+'Porc (Effectif détaillé)'!$C$52)*0.0151*107,0)+IF(Param_porcs!$G$16=13,('Porc (Effectif détaillé)'!$D$43-'Porc (Effectif détaillé)'!$C$43+'Porc (Effectif détaillé)'!$C$50)*0.0151*51,0)+IF(Param_porcs!$G$17=11,('Porc (Effectif détaillé)'!$D$41+'Porc (Effectif détaillé)'!$C$41)/2*0.0231*365,0)+IF(Param_porcs!$G$17=12,('Porc (Effectif détaillé)'!$D$44-'Porc (Effectif détaillé)'!$C$44+'Porc (Effectif détaillé)'!$C$51+'Porc (Effectif détaillé)'!$C$52)*0.0151*107,0)+IF(Param_porcs!$G$17=13,('Porc (Effectif détaillé)'!$D$43-'Porc (Effectif détaillé)'!$C$43+'Porc (Effectif détaillé)'!$C$50)*0.0151*51,0)+IF(Param_porcs!$G$18=11,('Porc (Effectif détaillé)'!$D$41+'Porc (Effectif détaillé)'!$C$41)/2*0.0231*365,0)+IF(Param_porcs!$G$18=12,('Porc (Effectif détaillé)'!$D$44-'Porc (Effectif détaillé)'!$C$44+'Porc (Effectif détaillé)'!$C$51+'Porc (Effectif détaillé)'!$C$52)*0.0151*107,0)+IF(Param_porcs!$G$18=13,('Porc (Effectif détaillé)'!$D$43-'Porc (Effectif détaillé)'!$C$43+'Porc (Effectif détaillé)'!$C$50)*0.0151*51,0)</f>
        <v>0</v>
      </c>
      <c r="M25" s="938">
        <f>IF(Param_porcs!$G$16=21,('Porc (Effectif détaillé)'!$D$41+'Porc (Effectif détaillé)'!$C$41)/2*0.0231*365,0)+IF(Param_porcs!$G$16=22,('Porc (Effectif détaillé)'!$D$44-'Porc (Effectif détaillé)'!$C$44+'Porc (Effectif détaillé)'!$C$51+'Porc (Effectif détaillé)'!$C$52)*0.0151*107,0)+IF(Param_porcs!$G$16=23,('Porc (Effectif détaillé)'!$D$43-'Porc (Effectif détaillé)'!$C$43+'Porc (Effectif détaillé)'!$C$50)*0.0151*51,0)+IF(Param_porcs!$G$17=21,('Porc (Effectif détaillé)'!$D$41+'Porc (Effectif détaillé)'!$C$41)/2*0.0231*365,0)+IF(Param_porcs!$G$17=22,('Porc (Effectif détaillé)'!$D$44-'Porc (Effectif détaillé)'!$C$44+'Porc (Effectif détaillé)'!$C$51+'Porc (Effectif détaillé)'!$C$52)*0.0151*107,0)+IF(Param_porcs!$G$17=23,('Porc (Effectif détaillé)'!$D$43-'Porc (Effectif détaillé)'!$C$43+'Porc (Effectif détaillé)'!$C$50)*0.0151*51,0)+IF(Param_porcs!$G$18=21,('Porc (Effectif détaillé)'!$D$41+'Porc (Effectif détaillé)'!$C$41)/2*0.0231*365,0)+IF(Param_porcs!$G$18=22,('Porc (Effectif détaillé)'!$D$44-'Porc (Effectif détaillé)'!$C$44+'Porc (Effectif détaillé)'!$C$51+'Porc (Effectif détaillé)'!$C$52)*0.0151*107,0)+IF(Param_porcs!$G$18=23,('Porc (Effectif détaillé)'!$D$43-'Porc (Effectif détaillé)'!$C$43+'Porc (Effectif détaillé)'!$C$50)*0.0151*51,0)</f>
        <v>1686.3</v>
      </c>
      <c r="O25" s="907" t="s">
        <v>1012</v>
      </c>
    </row>
    <row r="26" spans="2:24" x14ac:dyDescent="0.25">
      <c r="G26" s="889" t="str">
        <f>B9</f>
        <v>Porcs charcutiers</v>
      </c>
      <c r="H26" s="362">
        <f xml:space="preserve"> (IF(Param_porcs!G18=41, IF(F9="DAC (truie) ou alim. sèche (porc charcutier)",Param_porcs!G358,0)) + IF(Param_porcs!G18=41, IF(F9="Réfectoire + courette (truie) ou alim. humide (porc charcutier)", Param_porcs!G359,0))+ IF(Param_porcs!G18=41, IF(F9="Autres cas",Param_porcs!G360,0))+ IF(Param_porcs!G18=42, IF(F9="DAC (truie) ou alim. sèche (porc charcutier)", Param_porcs!G361,0)) + IF(Param_porcs!G18=42, IF(F9="Réfectoire + courette (truie) ou alim. humide (porc charcutier)",Param_porcs!G362,0))+ IF(Param_porcs!G18=42, IF(F9="Autres cas",Param_porcs!G363,0))+IF(Param_porcs!G18=43,Param_porcs!G357,0))/1000*0.48</f>
        <v>0</v>
      </c>
      <c r="I26" s="891">
        <f>(IF(Param_porcs!G18=41, ('Porc (Effectif détaillé)'!$D$41+'Porc (Effectif détaillé)'!$C$41+'Porc (Effectif détaillé)'!$C$42+'Porc (Effectif détaillé)'!$D$42)/2,0)+IF(Param_porcs!G18=42,('Porc (Effectif détaillé)'!$C$51+'Porc (Effectif détaillé)'!$C$52),0)+IF(Param_porcs!G18=43,('Porc (Effectif détaillé)'!$C$50+'Porc (Effectif détaillé)'!$C$52+'Porc (Effectif détaillé)'!$C$51-'Porc (Effectif détaillé)'!$C$59),0))*H26</f>
        <v>0</v>
      </c>
      <c r="J26" s="907" t="s">
        <v>1026</v>
      </c>
      <c r="K26" s="945" t="s">
        <v>640</v>
      </c>
      <c r="L26" s="938">
        <f>L25*45/55*12/16</f>
        <v>0</v>
      </c>
      <c r="M26" s="938">
        <f>M25*45/55*12/16</f>
        <v>1034.7750000000001</v>
      </c>
    </row>
    <row r="27" spans="2:24" x14ac:dyDescent="0.25">
      <c r="G27" s="889"/>
      <c r="H27" s="362"/>
      <c r="I27" s="891"/>
      <c r="K27" s="945" t="s">
        <v>624</v>
      </c>
      <c r="L27" s="938">
        <f>L24</f>
        <v>0</v>
      </c>
      <c r="M27" s="938">
        <f>M24</f>
        <v>2076.0685714285714</v>
      </c>
    </row>
    <row r="28" spans="2:24" x14ac:dyDescent="0.25">
      <c r="G28" s="889"/>
      <c r="K28" s="945" t="s">
        <v>638</v>
      </c>
      <c r="L28" s="938">
        <f>IF(Param_porcs!$G$16=11,('Porc (Effectif détaillé)'!$D$41+'Porc (Effectif détaillé)'!$C$41+'Porc (Effectif détaillé)'!$C$42+'Porc (Effectif détaillé)'!$D$42)/2*0.0185*365,0)+IF(Param_porcs!$G$16=12,('Porc (Effectif détaillé)'!$D$44-'Porc (Effectif détaillé)'!$C$44+'Porc (Effectif détaillé)'!$C$51+'Porc (Effectif détaillé)'!$C$52)*0.0121*107,0)+IF(Param_porcs!$G$16=13,('Porc (Effectif détaillé)'!$D$43-'Porc (Effectif détaillé)'!$C$43+'Porc (Effectif détaillé)'!$C$50+'Porc (Effectif détaillé)'!$C$51+'Porc (Effectif détaillé)'!$C$52)*0.0121*51,0)+IF(Param_porcs!$G$17=11,('Porc (Effectif détaillé)'!$D$41+'Porc (Effectif détaillé)'!$C$41+'Porc (Effectif détaillé)'!$C$42+'Porc (Effectif détaillé)'!$D$42)/2*0.0185*365,0)+IF(Param_porcs!$G$17=12,('Porc (Effectif détaillé)'!$D$44-'Porc (Effectif détaillé)'!$C$44+'Porc (Effectif détaillé)'!$C$51+'Porc (Effectif détaillé)'!$C$52)*0.0121*107,0)+IF(Param_porcs!$G$17=13,('Porc (Effectif détaillé)'!$D$43-'Porc (Effectif détaillé)'!$C$43+'Porc (Effectif détaillé)'!$C$50+'Porc (Effectif détaillé)'!$C$51+'Porc (Effectif détaillé)'!$C$52)*0.0121*51,0)+IF(Param_porcs!$G$18=11,('Porc (Effectif détaillé)'!$D$41+'Porc (Effectif détaillé)'!$C$41+'Porc (Effectif détaillé)'!$C$42+'Porc (Effectif détaillé)'!$D$42)/2*0.0185*365,0)+IF(Param_porcs!$G$18=12,('Porc (Effectif détaillé)'!$D$44-'Porc (Effectif détaillé)'!$C$44+'Porc (Effectif détaillé)'!$C$51+'Porc (Effectif détaillé)'!$C$52)*0.0121*107,0)+IF(Param_porcs!$G$18=13,('Porc (Effectif détaillé)'!$D$43-'Porc (Effectif détaillé)'!$C$43+'Porc (Effectif détaillé)'!$C$50+'Porc (Effectif détaillé)'!$C$51+'Porc (Effectif détaillé)'!$C$52)*0.0121*51,0)</f>
        <v>0</v>
      </c>
      <c r="M28" s="938">
        <f>IF(Param_porcs!$G$16=21,('Porc (Effectif détaillé)'!$D$41+'Porc (Effectif détaillé)'!$C$41+'Porc (Effectif détaillé)'!$C$42+'Porc (Effectif détaillé)'!$D$42)/2*0.0185*365,0)+IF(Param_porcs!$G$16=22,('Porc (Effectif détaillé)'!$D$44-'Porc (Effectif détaillé)'!$C$44+'Porc (Effectif détaillé)'!$C$51+'Porc (Effectif détaillé)'!$C$52)*0.0121*107,0)+IF(Param_porcs!$G$16=23,('Porc (Effectif détaillé)'!$D$43-'Porc (Effectif détaillé)'!$C$43+'Porc (Effectif détaillé)'!$C$50+'Porc (Effectif détaillé)'!$C$51+'Porc (Effectif détaillé)'!$C$52)*0.0121*51,0)+IF(Param_porcs!$G$17=21,('Porc (Effectif détaillé)'!$D$41+'Porc (Effectif détaillé)'!$C$41+'Porc (Effectif détaillé)'!$C$42+'Porc (Effectif détaillé)'!$D$42)/2*0.0185*365,0)+IF(Param_porcs!$G$17=22,('Porc (Effectif détaillé)'!$D$44-'Porc (Effectif détaillé)'!$C$44+'Porc (Effectif détaillé)'!$C$51+'Porc (Effectif détaillé)'!$C$52)*0.0121*107,0)+IF(Param_porcs!$G$17=23,('Porc (Effectif détaillé)'!$D$43-'Porc (Effectif détaillé)'!$C$43+'Porc (Effectif détaillé)'!$C$50+'Porc (Effectif détaillé)'!$C$51+'Porc (Effectif détaillé)'!$C$52)*0.0121*51,0)+IF(Param_porcs!$G$18=21,('Porc (Effectif détaillé)'!$D$41+'Porc (Effectif détaillé)'!$C$41+'Porc (Effectif détaillé)'!$C$42+'Porc (Effectif détaillé)'!$D$42)/2*0.0185*365,0)+IF(Param_porcs!$G$18=22,('Porc (Effectif détaillé)'!$D$44-'Porc (Effectif détaillé)'!$C$44+'Porc (Effectif détaillé)'!$C$51+'Porc (Effectif détaillé)'!$C$52)*0.0121*107,0)+IF(Param_porcs!$G$18=23,('Porc (Effectif détaillé)'!$D$43-'Porc (Effectif détaillé)'!$C$43+'Porc (Effectif détaillé)'!$C$50+'Porc (Effectif détaillé)'!$C$51+'Porc (Effectif détaillé)'!$C$52)*0.0121*51,0)</f>
        <v>1350.5</v>
      </c>
      <c r="O28" s="907" t="s">
        <v>1012</v>
      </c>
    </row>
    <row r="29" spans="2:24" s="905" customFormat="1" x14ac:dyDescent="0.25">
      <c r="B29" s="944"/>
      <c r="C29" s="944"/>
      <c r="D29" s="944"/>
      <c r="E29" s="944"/>
      <c r="F29" s="944"/>
      <c r="G29" s="944"/>
      <c r="H29" s="1115" t="s">
        <v>1027</v>
      </c>
      <c r="I29" s="1115"/>
      <c r="J29" s="907"/>
      <c r="K29" s="945" t="s">
        <v>637</v>
      </c>
      <c r="L29" s="938">
        <f>L28*45/55*12/16</f>
        <v>0</v>
      </c>
      <c r="M29" s="938">
        <f>M28*45/55*12/16</f>
        <v>828.71590909090912</v>
      </c>
      <c r="N29" s="907"/>
      <c r="O29" s="907"/>
      <c r="P29" s="907"/>
      <c r="Q29" s="907"/>
      <c r="R29" s="907"/>
      <c r="S29" s="907"/>
      <c r="T29" s="907"/>
      <c r="U29" s="907"/>
      <c r="V29" s="907"/>
      <c r="W29" s="907"/>
      <c r="X29" s="907"/>
    </row>
    <row r="30" spans="2:24" s="905" customFormat="1" x14ac:dyDescent="0.25">
      <c r="B30" s="944"/>
      <c r="C30" s="944"/>
      <c r="D30" s="944"/>
      <c r="E30" s="944"/>
      <c r="F30" s="944"/>
      <c r="G30" s="944"/>
      <c r="H30" s="1115" t="s">
        <v>654</v>
      </c>
      <c r="I30" s="1115"/>
      <c r="J30" s="907"/>
      <c r="K30" s="946" t="s">
        <v>659</v>
      </c>
      <c r="L30" s="941">
        <f>L23+L24-L25-L26-L27-L28-L29</f>
        <v>0</v>
      </c>
      <c r="M30" s="941">
        <f>M23+M24-M25-M26-M27-M28-M29</f>
        <v>8729.2405194805215</v>
      </c>
      <c r="N30" s="907"/>
      <c r="O30" s="907"/>
      <c r="P30" s="907"/>
      <c r="Q30" s="907"/>
      <c r="R30" s="907"/>
      <c r="S30" s="907"/>
      <c r="T30" s="907"/>
      <c r="U30" s="907"/>
      <c r="V30" s="907"/>
      <c r="W30" s="907"/>
      <c r="X30" s="907"/>
    </row>
    <row r="31" spans="2:24" s="905" customFormat="1" x14ac:dyDescent="0.25">
      <c r="B31" s="944"/>
      <c r="C31" s="944"/>
      <c r="D31" s="944"/>
      <c r="E31" s="944"/>
      <c r="F31" s="944"/>
      <c r="G31" s="944"/>
      <c r="H31" s="937" t="s">
        <v>622</v>
      </c>
      <c r="I31" s="937" t="s">
        <v>623</v>
      </c>
      <c r="J31" s="907"/>
      <c r="K31" s="907"/>
      <c r="L31" s="937"/>
      <c r="M31" s="937"/>
      <c r="N31" s="937"/>
      <c r="O31" s="907"/>
      <c r="P31" s="907"/>
      <c r="Q31" s="907"/>
      <c r="R31" s="907"/>
      <c r="S31" s="907"/>
      <c r="T31" s="907"/>
      <c r="U31" s="907"/>
      <c r="V31" s="907"/>
      <c r="W31" s="907"/>
      <c r="X31" s="907"/>
    </row>
    <row r="32" spans="2:24" s="905" customFormat="1" x14ac:dyDescent="0.25">
      <c r="B32" s="944"/>
      <c r="C32" s="944"/>
      <c r="D32" s="944"/>
      <c r="E32" s="944"/>
      <c r="F32" s="944"/>
      <c r="G32" s="947" t="str">
        <f>B7</f>
        <v>Truies et verrats</v>
      </c>
      <c r="H32" s="937">
        <f xml:space="preserve"> (IF(Param_porcs!G16=51, IF(F7="DAC (truie) ou alim. sèche (porc charcutier)",Param_porcs!I358,0)) + IF(Param_porcs!G16=51, IF(F7="Réfectoire + courette (truie) ou alim. humide (porc charcutier)", Param_porcs!I359,0))+ IF(Param_porcs!G16=51, IF(F7="Autres cas",Param_porcs!I360,0))+ IF(Param_porcs!G16=52, IF(F7="DAC (truie) ou alim. sèche (porc charcutier)", Param_porcs!I361,0)) + IF(Param_porcs!G16=52, IF(F7="Réfectoire + courette (truie) ou alim. humide (porc charcutier)", Param_porcs!I362,0))+ IF(Param_porcs!G16=52, IF(F7="Autres cas",Param_porcs!I363,0))+IF(Param_porcs!G16=53, Param_porcs!I357,0))/1000</f>
        <v>0</v>
      </c>
      <c r="I32" s="937">
        <f>(IF(Param_porcs!G16=51, ('Porc (Effectif détaillé)'!$D$41+'Porc (Effectif détaillé)'!$C$41+'Porc (Effectif détaillé)'!$C$42+'Porc (Effectif détaillé)'!$D$42)/2,0)+IF(Param_porcs!G16=52,('Porc (Effectif détaillé)'!$C$51+'Porc (Effectif détaillé)'!$C$52),0)+IF(Param_porcs!G16=53,('Porc (Effectif détaillé)'!$C$50+'Porc (Effectif détaillé)'!$C$52+'Porc (Effectif détaillé)'!$C$51-'Porc (Effectif détaillé)'!$C$59),0))*H32</f>
        <v>0</v>
      </c>
      <c r="J32" s="907" t="s">
        <v>1024</v>
      </c>
      <c r="K32" s="948" t="s">
        <v>1011</v>
      </c>
      <c r="L32" s="949">
        <f>L33*(1-L34)*L35</f>
        <v>6.5440000000000012E-2</v>
      </c>
      <c r="M32" s="937"/>
      <c r="N32" s="937"/>
      <c r="O32" s="907"/>
      <c r="P32" s="907"/>
      <c r="Q32" s="907"/>
      <c r="R32" s="907"/>
      <c r="S32" s="907"/>
      <c r="T32" s="907"/>
      <c r="U32" s="907"/>
      <c r="V32" s="907"/>
      <c r="W32" s="907"/>
      <c r="X32" s="907"/>
    </row>
    <row r="33" spans="2:24" s="905" customFormat="1" x14ac:dyDescent="0.25">
      <c r="B33" s="944"/>
      <c r="C33" s="944"/>
      <c r="D33" s="944"/>
      <c r="E33" s="944"/>
      <c r="F33" s="944"/>
      <c r="G33" s="947" t="str">
        <f>B8</f>
        <v>Post-sevrage</v>
      </c>
      <c r="H33" s="937">
        <f xml:space="preserve"> (IF(Param_porcs!G17=51, IF(F8="DAC (truie) ou alim. sèche (porc charcutier)", Param_porcs!I358,0)) + IF(Param_porcs!G17=51, IF(F8="Réfectoire + courette (truie) ou alim. humide (porc charcutier)", Param_porcs!I359,0))+ IF(Param_porcs!G17=51, IF(F8="Autres cas",Param_porcs!I360,0))+ IF(Param_porcs!G17=52, IF(F8="DAC (truie) ou alim. sèche (porc charcutier)", Param_porcs!I361,0)) + IF(Param_porcs!G17=52, IF(F8="Réfectoire + courette (truie) ou alim. humide (porc charcutier)", Param_porcs!I362,0))+ IF(Param_porcs!G17=52, IF(F8="Autres cas",Param_porcs!I363,0))+IF(Param_porcs!G17=53, Param_porcs!I357,0))/1000</f>
        <v>0</v>
      </c>
      <c r="I33" s="937">
        <f>(IF(Param_porcs!G17=51, ('Porc (Effectif détaillé)'!$D$41+'Porc (Effectif détaillé)'!$C$41+'Porc (Effectif détaillé)'!$C$42+'Porc (Effectif détaillé)'!$D$42)/2,0)+IF(Param_porcs!G17=52,('Porc (Effectif détaillé)'!$C$51+'Porc (Effectif détaillé)'!$C$52),0)+IF(Param_porcs!G17=53,('Porc (Effectif détaillé)'!$C$50+'Porc (Effectif détaillé)'!$C$52+'Porc (Effectif détaillé)'!$C$51-'Porc (Effectif détaillé)'!$C$59),0))*H33</f>
        <v>0</v>
      </c>
      <c r="J33" s="907" t="s">
        <v>1025</v>
      </c>
      <c r="K33" s="945" t="s">
        <v>628</v>
      </c>
      <c r="L33" s="950">
        <v>0.81799999999999995</v>
      </c>
      <c r="M33" s="937"/>
      <c r="N33" s="937"/>
      <c r="O33" s="907"/>
      <c r="P33" s="907"/>
      <c r="Q33" s="907"/>
      <c r="R33" s="907"/>
      <c r="S33" s="907"/>
      <c r="T33" s="907"/>
      <c r="U33" s="907"/>
      <c r="V33" s="907"/>
      <c r="W33" s="907"/>
      <c r="X33" s="907"/>
    </row>
    <row r="34" spans="2:24" s="905" customFormat="1" x14ac:dyDescent="0.25">
      <c r="B34" s="944"/>
      <c r="C34" s="944"/>
      <c r="D34" s="944"/>
      <c r="E34" s="944"/>
      <c r="F34" s="944"/>
      <c r="G34" s="947" t="str">
        <f>B9</f>
        <v>Porcs charcutiers</v>
      </c>
      <c r="H34" s="937">
        <f xml:space="preserve"> (IF(Param_porcs!G18=51, IF(F9="DAC (truie) ou alim. sèche (porc charcutier)",Param_porcs!I358,0)) + IF(Param_porcs!G18=51, IF(F9="Réfectoire + courette (truie) ou alim. humide (porc charcutier)", Param_porcs!I359,0))+ IF(Param_porcs!G18=51, IF(F9="Autres cas",Param_porcs!I360,0))+ IF(Param_porcs!G18=52, IF(F9="DAC (truie) ou alim. sèche (porc charcutier)", Param_porcs!I361,0)) + IF(Param_porcs!G18=52, IF(F9="Réfectoire + courette (truie) ou alim. humide (porc charcutier)",Param_porcs!I362,0))+ IF(Param_porcs!G18=52, IF(F9="Autres cas",Param_porcs!I363,0))+IF(Param_porcs!G18=53,Param_porcs!I357,0))/1000</f>
        <v>0.23300000000000001</v>
      </c>
      <c r="I34" s="937">
        <f>(IF(Param_porcs!G18=51, ('Porc (Effectif détaillé)'!$D$41+'Porc (Effectif détaillé)'!$C$41+'Porc (Effectif détaillé)'!$C$42+'Porc (Effectif détaillé)'!$D$42)/2,0)+IF(Param_porcs!G18=52,('Porc (Effectif détaillé)'!$C$51+'Porc (Effectif détaillé)'!$C$52),0)+IF(Param_porcs!G18=53,('Porc (Effectif détaillé)'!$C$50+'Porc (Effectif détaillé)'!$C$52+'Porc (Effectif détaillé)'!$C$51-'Porc (Effectif détaillé)'!$C$59),0))*H34</f>
        <v>1043.8400000000001</v>
      </c>
      <c r="J34" s="907" t="s">
        <v>1026</v>
      </c>
      <c r="K34" s="945" t="s">
        <v>629</v>
      </c>
      <c r="L34" s="937">
        <v>0.84</v>
      </c>
      <c r="M34" s="937"/>
      <c r="N34" s="937"/>
      <c r="O34" s="907"/>
      <c r="P34" s="907"/>
      <c r="Q34" s="907"/>
      <c r="R34" s="907"/>
      <c r="S34" s="907"/>
      <c r="T34" s="907"/>
      <c r="U34" s="907"/>
      <c r="V34" s="907"/>
      <c r="W34" s="907"/>
      <c r="X34" s="907"/>
    </row>
    <row r="35" spans="2:24" s="905" customFormat="1" x14ac:dyDescent="0.25">
      <c r="B35" s="944"/>
      <c r="C35" s="944"/>
      <c r="D35" s="944"/>
      <c r="E35" s="944"/>
      <c r="F35" s="944"/>
      <c r="G35" s="944"/>
      <c r="H35" s="937"/>
      <c r="I35" s="937"/>
      <c r="J35" s="907"/>
      <c r="K35" s="945" t="s">
        <v>630</v>
      </c>
      <c r="L35" s="937">
        <v>0.5</v>
      </c>
      <c r="M35" s="937"/>
      <c r="N35" s="937"/>
      <c r="O35" s="907"/>
      <c r="P35" s="907"/>
      <c r="Q35" s="907"/>
      <c r="R35" s="907"/>
      <c r="S35" s="907"/>
      <c r="T35" s="907"/>
      <c r="U35" s="907"/>
      <c r="V35" s="907"/>
      <c r="W35" s="907"/>
      <c r="X35" s="907"/>
    </row>
    <row r="36" spans="2:24" s="905" customFormat="1" x14ac:dyDescent="0.25">
      <c r="B36" s="944"/>
      <c r="C36" s="944"/>
      <c r="D36" s="944"/>
      <c r="E36" s="944"/>
      <c r="F36" s="944"/>
      <c r="G36" s="944"/>
      <c r="H36" s="907"/>
      <c r="I36" s="907"/>
      <c r="J36" s="907"/>
      <c r="K36" s="907"/>
      <c r="L36" s="937"/>
      <c r="M36" s="937"/>
      <c r="N36" s="937"/>
      <c r="O36" s="907"/>
      <c r="P36" s="907"/>
      <c r="Q36" s="907"/>
      <c r="R36" s="907"/>
      <c r="S36" s="907"/>
      <c r="T36" s="907"/>
      <c r="U36" s="907"/>
      <c r="V36" s="907"/>
      <c r="W36" s="907"/>
      <c r="X36" s="907"/>
    </row>
    <row r="37" spans="2:24" s="905" customFormat="1" x14ac:dyDescent="0.25">
      <c r="B37" s="944"/>
      <c r="C37" s="944"/>
      <c r="D37" s="944"/>
      <c r="E37" s="944"/>
      <c r="F37" s="944"/>
      <c r="G37" s="944"/>
      <c r="H37" s="1115" t="s">
        <v>1027</v>
      </c>
      <c r="I37" s="1115"/>
      <c r="J37" s="907"/>
      <c r="K37" s="907"/>
      <c r="L37" s="937"/>
      <c r="M37" s="937"/>
      <c r="N37" s="937"/>
      <c r="O37" s="907"/>
      <c r="P37" s="907"/>
      <c r="Q37" s="907"/>
      <c r="R37" s="907"/>
      <c r="S37" s="907"/>
      <c r="T37" s="907"/>
      <c r="U37" s="907"/>
      <c r="V37" s="907"/>
      <c r="W37" s="907"/>
      <c r="X37" s="907"/>
    </row>
    <row r="38" spans="2:24" s="905" customFormat="1" x14ac:dyDescent="0.25">
      <c r="B38" s="944"/>
      <c r="C38" s="944"/>
      <c r="D38" s="944"/>
      <c r="E38" s="944"/>
      <c r="F38" s="944"/>
      <c r="G38" s="944"/>
      <c r="H38" s="1115" t="s">
        <v>655</v>
      </c>
      <c r="I38" s="1115"/>
      <c r="J38" s="907"/>
      <c r="K38" s="907"/>
      <c r="L38" s="907"/>
      <c r="M38" s="907"/>
      <c r="N38" s="907"/>
      <c r="O38" s="907"/>
      <c r="P38" s="907"/>
      <c r="Q38" s="907"/>
      <c r="R38" s="907"/>
      <c r="S38" s="907"/>
      <c r="T38" s="907"/>
      <c r="U38" s="907"/>
      <c r="V38" s="907"/>
      <c r="W38" s="907"/>
      <c r="X38" s="907"/>
    </row>
    <row r="39" spans="2:24" s="905" customFormat="1" x14ac:dyDescent="0.25">
      <c r="B39" s="944"/>
      <c r="C39" s="944"/>
      <c r="D39" s="944"/>
      <c r="E39" s="944"/>
      <c r="F39" s="944"/>
      <c r="G39" s="944"/>
      <c r="H39" s="937" t="s">
        <v>622</v>
      </c>
      <c r="I39" s="937" t="s">
        <v>623</v>
      </c>
      <c r="J39" s="907"/>
      <c r="K39" s="907"/>
      <c r="L39" s="907"/>
      <c r="M39" s="907"/>
      <c r="N39" s="907"/>
      <c r="O39" s="907"/>
      <c r="P39" s="907"/>
      <c r="Q39" s="907"/>
      <c r="R39" s="907"/>
      <c r="S39" s="907"/>
      <c r="T39" s="907"/>
      <c r="U39" s="907"/>
      <c r="V39" s="907"/>
      <c r="W39" s="907"/>
      <c r="X39" s="907"/>
    </row>
    <row r="40" spans="2:24" s="905" customFormat="1" x14ac:dyDescent="0.25">
      <c r="B40" s="944"/>
      <c r="C40" s="944"/>
      <c r="D40" s="944"/>
      <c r="E40" s="944"/>
      <c r="F40" s="944"/>
      <c r="G40" s="944" t="str">
        <f>B7</f>
        <v>Truies et verrats</v>
      </c>
      <c r="H40" s="937">
        <f xml:space="preserve"> (IF(Param_porcs!G16=61, IF(F7="DAC (truie) ou alim. sèche (porc charcutier)",Param_porcs!I358,0)) + IF(Param_porcs!G16=61, IF(F7="Réfectoire + courette (truie) ou alim. humide (porc charcutier)", Param_porcs!I359,0))+ IF(Param_porcs!G16=61, IF(F7="Autres cas",Param_porcs!I360,0))+ IF(Param_porcs!G16=62, IF(F7="DAC (truie) ou alim. sèche (porc charcutier)", Param_porcs!I361,0)) + IF(Param_porcs!G16=62, IF(F7="Réfectoire + courette (truie) ou alim. humide (porc charcutier)",Param_porcs!I362,0))+ IF(Param_porcs!G16=62, IF(F7="Autres cas", Param_porcs!I363,0))+IF(Param_porcs!G16=63, Param_porcs!I357,0))/1000*0.75</f>
        <v>0</v>
      </c>
      <c r="I40" s="937">
        <f>(IF(Param_porcs!G16=61, ('Porc (Effectif détaillé)'!$D$41+'Porc (Effectif détaillé)'!$C$41+'Porc (Effectif détaillé)'!$C$42+'Porc (Effectif détaillé)'!$D$42)/2,0)+IF(Param_porcs!G16=62,('Porc (Effectif détaillé)'!$C$51+'Porc (Effectif détaillé)'!$C$52),0)+IF(Param_porcs!G16=63,('Porc (Effectif détaillé)'!$C$50+'Porc (Effectif détaillé)'!$C$52+'Porc (Effectif détaillé)'!$C$51-'Porc (Effectif détaillé)'!$C$59),0))*H40</f>
        <v>0</v>
      </c>
      <c r="J40" s="907" t="s">
        <v>1024</v>
      </c>
      <c r="K40" s="907"/>
      <c r="L40" s="907"/>
      <c r="M40" s="907"/>
      <c r="N40" s="907"/>
      <c r="O40" s="907"/>
      <c r="P40" s="907"/>
      <c r="Q40" s="907"/>
      <c r="R40" s="907"/>
      <c r="S40" s="907"/>
      <c r="T40" s="907"/>
      <c r="U40" s="907"/>
      <c r="V40" s="907"/>
      <c r="W40" s="907"/>
      <c r="X40" s="907"/>
    </row>
    <row r="41" spans="2:24" s="905" customFormat="1" x14ac:dyDescent="0.25">
      <c r="B41" s="944"/>
      <c r="C41" s="944"/>
      <c r="D41" s="944"/>
      <c r="E41" s="944"/>
      <c r="F41" s="944"/>
      <c r="G41" s="944" t="str">
        <f>B8</f>
        <v>Post-sevrage</v>
      </c>
      <c r="H41" s="937">
        <f xml:space="preserve"> (IF(Param_porcs!G17=61, IF(F8="DAC (truie) ou alim. sèche (porc charcutier)", Param_porcs!I358,0)) + IF(Param_porcs!G17=61, IF(F8="Réfectoire + courette (truie) ou alim. humide (porc charcutier)", Param_porcs!I359,0))+ IF(Param_porcs!G17=61, IF(F8="Autres cas", Param_porcs!I360,0))+ IF(Param_porcs!G17=62, IF(F8="DAC (truie) ou alim. sèche (porc charcutier)",Param_porcs!I361,0)) + IF(Param_porcs!G17=62, IF(F8="Réfectoire + courette (truie) ou alim. humide (porc charcutier)",Param_porcs!I362,0))+ IF(Param_porcs!G17=62, IF(F8="Autres cas", Param_porcs!I363,0))+IF(Param_porcs!G17=63, Param_porcs!I357,0))/1000*0.75</f>
        <v>0</v>
      </c>
      <c r="I41" s="937">
        <f>(IF(Param_porcs!G17=61, ('Porc (Effectif détaillé)'!$D$41+'Porc (Effectif détaillé)'!$C$41+'Porc (Effectif détaillé)'!$C$42+'Porc (Effectif détaillé)'!$D$42)/2,0)+IF(Param_porcs!G17=62,('Porc (Effectif détaillé)'!$C$51+'Porc (Effectif détaillé)'!$C$52),0)+IF(Param_porcs!G17=63,('Porc (Effectif détaillé)'!$C$50+'Porc (Effectif détaillé)'!$C$52+'Porc (Effectif détaillé)'!$C$51-'Porc (Effectif détaillé)'!$C$59),0))*H41</f>
        <v>0</v>
      </c>
      <c r="J41" s="907" t="s">
        <v>1025</v>
      </c>
      <c r="K41" s="907"/>
      <c r="L41" s="907"/>
      <c r="M41" s="907"/>
      <c r="N41" s="907"/>
      <c r="O41" s="907"/>
      <c r="P41" s="907"/>
      <c r="Q41" s="907"/>
      <c r="R41" s="907"/>
      <c r="S41" s="907"/>
      <c r="T41" s="907"/>
      <c r="U41" s="907"/>
      <c r="V41" s="907"/>
      <c r="W41" s="907"/>
      <c r="X41" s="907"/>
    </row>
    <row r="42" spans="2:24" s="905" customFormat="1" x14ac:dyDescent="0.25">
      <c r="B42" s="944"/>
      <c r="C42" s="944"/>
      <c r="D42" s="944"/>
      <c r="E42" s="944"/>
      <c r="F42" s="944"/>
      <c r="G42" s="944" t="str">
        <f>B9</f>
        <v>Porcs charcutiers</v>
      </c>
      <c r="H42" s="937">
        <f xml:space="preserve"> (IF(Param_porcs!G18=61, IF(F9="DAC (truie) ou alim. sèche (porc charcutier)",Param_porcs!I358,0)) + IF(Param_porcs!G18=61, IF(F9="Réfectoire + courette (truie) ou alim. humide (porc charcutier)", Param_porcs!I359,0))+ IF(Param_porcs!G18=61, IF(F9="Autres cas",Param_porcs!I360,0))+ IF(Param_porcs!G18=62, IF(F9="DAC (truie) ou alim. sèche (porc charcutier)", Param_porcs!I361,0)) + IF(Param_porcs!G18=62, IF(F9="Réfectoire + courette (truie) ou alim. humide (porc charcutier)",Param_porcs!I362,0))+ IF(Param_porcs!G18=62, IF(F9="Autres cas", Param_porcs!I363,0))+IF(Param_porcs!G18=63, Param_porcs!I357,0))/1000*0.75</f>
        <v>0</v>
      </c>
      <c r="I42" s="937">
        <f>(IF(Param_porcs!G18=61, ('Porc (Effectif détaillé)'!$D$41+'Porc (Effectif détaillé)'!$C$41+'Porc (Effectif détaillé)'!$C$42+'Porc (Effectif détaillé)'!$D$42)/2,0)+IF(Param_porcs!G18=62,('Porc (Effectif détaillé)'!$C$51+'Porc (Effectif détaillé)'!$C$52),0)+IF(Param_porcs!G18=63,('Porc (Effectif détaillé)'!$C$50+'Porc (Effectif détaillé)'!$C$52+'Porc (Effectif détaillé)'!$C$51-'Porc (Effectif détaillé)'!$C$59),0))*H42</f>
        <v>0</v>
      </c>
      <c r="J42" s="907" t="s">
        <v>1026</v>
      </c>
      <c r="K42" s="907"/>
      <c r="L42" s="907"/>
      <c r="M42" s="907"/>
      <c r="N42" s="907"/>
      <c r="O42" s="907"/>
      <c r="P42" s="907"/>
      <c r="Q42" s="907"/>
      <c r="R42" s="907"/>
      <c r="S42" s="907"/>
      <c r="T42" s="907"/>
      <c r="U42" s="907"/>
      <c r="V42" s="907"/>
      <c r="W42" s="907"/>
      <c r="X42" s="907"/>
    </row>
    <row r="43" spans="2:24" s="905" customFormat="1" x14ac:dyDescent="0.25">
      <c r="B43" s="944"/>
      <c r="C43" s="944"/>
      <c r="D43" s="944"/>
      <c r="E43" s="944"/>
      <c r="F43" s="944"/>
      <c r="G43" s="944"/>
      <c r="H43" s="937"/>
      <c r="I43" s="937"/>
      <c r="J43" s="907"/>
      <c r="K43" s="907"/>
      <c r="L43" s="907"/>
      <c r="M43" s="907"/>
      <c r="N43" s="907"/>
      <c r="O43" s="907"/>
      <c r="P43" s="907"/>
      <c r="Q43" s="907"/>
      <c r="R43" s="907"/>
      <c r="S43" s="907"/>
      <c r="T43" s="907"/>
      <c r="U43" s="907"/>
      <c r="V43" s="907"/>
      <c r="W43" s="907"/>
      <c r="X43" s="907"/>
    </row>
    <row r="44" spans="2:24" s="905" customFormat="1" x14ac:dyDescent="0.25">
      <c r="B44" s="944"/>
      <c r="C44" s="944"/>
      <c r="D44" s="944"/>
      <c r="E44" s="944"/>
      <c r="F44" s="944"/>
      <c r="G44" s="944"/>
      <c r="H44" s="907"/>
      <c r="I44" s="907"/>
      <c r="J44" s="907"/>
      <c r="K44" s="907"/>
      <c r="L44" s="907"/>
      <c r="M44" s="907"/>
      <c r="N44" s="907"/>
      <c r="O44" s="907"/>
      <c r="P44" s="907"/>
      <c r="Q44" s="907"/>
      <c r="R44" s="907"/>
      <c r="S44" s="907"/>
      <c r="T44" s="907"/>
      <c r="U44" s="907"/>
      <c r="V44" s="907"/>
      <c r="W44" s="907"/>
      <c r="X44" s="907"/>
    </row>
    <row r="45" spans="2:24" s="905" customFormat="1" x14ac:dyDescent="0.25">
      <c r="B45" s="944"/>
      <c r="C45" s="944"/>
      <c r="D45" s="944"/>
      <c r="E45" s="944"/>
      <c r="F45" s="944"/>
      <c r="G45" s="944"/>
      <c r="H45" s="907"/>
      <c r="I45" s="907"/>
      <c r="J45" s="907"/>
      <c r="K45" s="907"/>
      <c r="L45" s="907"/>
      <c r="M45" s="907"/>
      <c r="N45" s="907"/>
      <c r="O45" s="907"/>
      <c r="P45" s="907"/>
      <c r="Q45" s="907"/>
      <c r="R45" s="907"/>
      <c r="S45" s="907"/>
      <c r="T45" s="907"/>
      <c r="U45" s="907"/>
      <c r="V45" s="907"/>
      <c r="W45" s="907"/>
      <c r="X45" s="907"/>
    </row>
    <row r="46" spans="2:24" s="905" customFormat="1" x14ac:dyDescent="0.25">
      <c r="B46" s="944"/>
      <c r="C46" s="944"/>
      <c r="D46" s="944"/>
      <c r="E46" s="944"/>
      <c r="F46" s="944"/>
      <c r="G46" s="944"/>
      <c r="H46" s="907"/>
      <c r="I46" s="907"/>
      <c r="J46" s="907"/>
      <c r="K46" s="907"/>
      <c r="L46" s="907"/>
      <c r="M46" s="907"/>
      <c r="N46" s="907"/>
      <c r="O46" s="907"/>
      <c r="P46" s="907"/>
      <c r="Q46" s="907"/>
      <c r="R46" s="907"/>
      <c r="S46" s="907"/>
      <c r="T46" s="907"/>
      <c r="U46" s="907"/>
      <c r="V46" s="907"/>
      <c r="W46" s="907"/>
      <c r="X46" s="907"/>
    </row>
    <row r="47" spans="2:24" s="905" customFormat="1" x14ac:dyDescent="0.25">
      <c r="B47" s="944"/>
      <c r="C47" s="944"/>
      <c r="D47" s="944"/>
      <c r="E47" s="944"/>
      <c r="F47" s="944"/>
      <c r="G47" s="944"/>
      <c r="H47" s="907"/>
      <c r="I47" s="907"/>
      <c r="J47" s="907"/>
      <c r="K47" s="907"/>
      <c r="L47" s="907"/>
      <c r="M47" s="907"/>
      <c r="N47" s="907"/>
      <c r="O47" s="907"/>
      <c r="P47" s="907"/>
      <c r="Q47" s="907"/>
      <c r="R47" s="907"/>
      <c r="S47" s="907"/>
      <c r="T47" s="907"/>
      <c r="U47" s="907"/>
      <c r="V47" s="907"/>
      <c r="W47" s="907"/>
      <c r="X47" s="907"/>
    </row>
    <row r="48" spans="2:24" s="905" customFormat="1" x14ac:dyDescent="0.25">
      <c r="B48" s="944"/>
      <c r="C48" s="944"/>
      <c r="D48" s="944"/>
      <c r="E48" s="944"/>
      <c r="F48" s="944"/>
      <c r="G48" s="944"/>
      <c r="H48" s="907"/>
      <c r="I48" s="907"/>
      <c r="J48" s="907"/>
      <c r="K48" s="907"/>
      <c r="L48" s="907"/>
      <c r="M48" s="907"/>
      <c r="N48" s="907"/>
      <c r="O48" s="907"/>
      <c r="P48" s="907"/>
      <c r="Q48" s="907"/>
      <c r="R48" s="907"/>
      <c r="S48" s="907"/>
      <c r="T48" s="907"/>
      <c r="U48" s="907"/>
      <c r="V48" s="907"/>
      <c r="W48" s="907"/>
      <c r="X48" s="907"/>
    </row>
    <row r="49" spans="2:24" s="905" customFormat="1" x14ac:dyDescent="0.25">
      <c r="B49" s="944"/>
      <c r="C49" s="944"/>
      <c r="D49" s="944"/>
      <c r="E49" s="944"/>
      <c r="F49" s="944"/>
      <c r="G49" s="944"/>
      <c r="H49" s="907"/>
      <c r="I49" s="907"/>
      <c r="J49" s="907"/>
      <c r="K49" s="907"/>
      <c r="L49" s="907"/>
      <c r="M49" s="907"/>
      <c r="N49" s="907"/>
      <c r="O49" s="907"/>
      <c r="P49" s="907"/>
      <c r="Q49" s="907"/>
      <c r="R49" s="907"/>
      <c r="S49" s="907"/>
      <c r="T49" s="907"/>
      <c r="U49" s="907"/>
      <c r="V49" s="907"/>
      <c r="W49" s="907"/>
      <c r="X49" s="907"/>
    </row>
    <row r="50" spans="2:24" s="905" customFormat="1" x14ac:dyDescent="0.25">
      <c r="B50" s="944"/>
      <c r="C50" s="944"/>
      <c r="D50" s="944"/>
      <c r="E50" s="944"/>
      <c r="F50" s="944"/>
      <c r="G50" s="944"/>
      <c r="H50" s="907"/>
      <c r="I50" s="907"/>
      <c r="J50" s="907"/>
      <c r="K50" s="907"/>
      <c r="L50" s="907"/>
      <c r="M50" s="907"/>
      <c r="N50" s="907"/>
      <c r="O50" s="907"/>
      <c r="P50" s="907"/>
      <c r="Q50" s="907"/>
      <c r="R50" s="907"/>
      <c r="S50" s="907"/>
      <c r="T50" s="907"/>
      <c r="U50" s="907"/>
      <c r="V50" s="907"/>
      <c r="W50" s="907"/>
      <c r="X50" s="907"/>
    </row>
    <row r="51" spans="2:24" s="905" customFormat="1" x14ac:dyDescent="0.25">
      <c r="B51" s="944"/>
      <c r="C51" s="944"/>
      <c r="D51" s="944"/>
      <c r="E51" s="944"/>
      <c r="F51" s="944"/>
      <c r="G51" s="944"/>
      <c r="H51" s="907"/>
      <c r="I51" s="907"/>
      <c r="J51" s="907"/>
      <c r="K51" s="907"/>
      <c r="L51" s="907"/>
      <c r="M51" s="907"/>
      <c r="N51" s="907"/>
      <c r="O51" s="907"/>
      <c r="P51" s="907"/>
      <c r="Q51" s="907"/>
      <c r="R51" s="907"/>
      <c r="S51" s="907"/>
      <c r="T51" s="907"/>
      <c r="U51" s="907"/>
      <c r="V51" s="907"/>
      <c r="W51" s="907"/>
      <c r="X51" s="907"/>
    </row>
    <row r="52" spans="2:24" s="905" customFormat="1" x14ac:dyDescent="0.25">
      <c r="B52" s="944"/>
      <c r="C52" s="944"/>
      <c r="D52" s="944"/>
      <c r="E52" s="944"/>
      <c r="F52" s="944"/>
      <c r="G52" s="944"/>
      <c r="H52" s="907"/>
      <c r="I52" s="907"/>
      <c r="J52" s="907"/>
      <c r="K52" s="907"/>
      <c r="L52" s="907"/>
      <c r="M52" s="907"/>
      <c r="N52" s="907"/>
      <c r="O52" s="907"/>
      <c r="P52" s="907"/>
      <c r="Q52" s="907"/>
      <c r="R52" s="907"/>
      <c r="S52" s="907"/>
      <c r="T52" s="907"/>
      <c r="U52" s="907"/>
      <c r="V52" s="907"/>
      <c r="W52" s="907"/>
      <c r="X52" s="907"/>
    </row>
    <row r="53" spans="2:24" s="905" customFormat="1" x14ac:dyDescent="0.25">
      <c r="B53" s="944"/>
      <c r="C53" s="944"/>
      <c r="D53" s="944"/>
      <c r="E53" s="944"/>
      <c r="F53" s="944"/>
      <c r="G53" s="944"/>
      <c r="H53" s="907"/>
      <c r="I53" s="907"/>
      <c r="J53" s="907"/>
      <c r="K53" s="907"/>
      <c r="L53" s="907"/>
      <c r="M53" s="907"/>
      <c r="N53" s="907"/>
      <c r="O53" s="907"/>
      <c r="P53" s="907"/>
      <c r="Q53" s="907"/>
      <c r="R53" s="907"/>
      <c r="S53" s="907"/>
      <c r="T53" s="907"/>
      <c r="U53" s="907"/>
      <c r="V53" s="907"/>
      <c r="W53" s="907"/>
      <c r="X53" s="907"/>
    </row>
    <row r="54" spans="2:24" s="905" customFormat="1" x14ac:dyDescent="0.25">
      <c r="B54" s="944"/>
      <c r="C54" s="944"/>
      <c r="D54" s="944"/>
      <c r="E54" s="944"/>
      <c r="F54" s="944"/>
      <c r="G54" s="944"/>
      <c r="H54" s="907"/>
      <c r="I54" s="907"/>
      <c r="J54" s="907"/>
      <c r="K54" s="907"/>
      <c r="L54" s="907"/>
      <c r="M54" s="907"/>
      <c r="N54" s="907"/>
      <c r="O54" s="907"/>
      <c r="P54" s="907"/>
      <c r="Q54" s="907"/>
      <c r="R54" s="907"/>
      <c r="S54" s="907"/>
      <c r="T54" s="907"/>
      <c r="U54" s="907"/>
      <c r="V54" s="907"/>
      <c r="W54" s="907"/>
      <c r="X54" s="907"/>
    </row>
    <row r="55" spans="2:24" s="905" customFormat="1" x14ac:dyDescent="0.25">
      <c r="B55" s="944"/>
      <c r="C55" s="944"/>
      <c r="D55" s="944"/>
      <c r="E55" s="944"/>
      <c r="F55" s="944"/>
      <c r="G55" s="944"/>
      <c r="H55" s="907"/>
      <c r="I55" s="907"/>
      <c r="J55" s="907"/>
      <c r="K55" s="907"/>
      <c r="L55" s="907"/>
      <c r="M55" s="907"/>
      <c r="N55" s="907"/>
      <c r="O55" s="907"/>
      <c r="P55" s="907"/>
      <c r="Q55" s="907"/>
      <c r="R55" s="907"/>
      <c r="S55" s="907"/>
      <c r="T55" s="907"/>
      <c r="U55" s="907"/>
      <c r="V55" s="907"/>
      <c r="W55" s="907"/>
      <c r="X55" s="907"/>
    </row>
    <row r="56" spans="2:24" s="905" customFormat="1" x14ac:dyDescent="0.25">
      <c r="B56" s="944"/>
      <c r="C56" s="944"/>
      <c r="D56" s="944"/>
      <c r="E56" s="944"/>
      <c r="F56" s="944"/>
      <c r="G56" s="944"/>
      <c r="H56" s="907"/>
      <c r="I56" s="907"/>
      <c r="J56" s="907"/>
      <c r="K56" s="907"/>
      <c r="L56" s="907"/>
      <c r="M56" s="907"/>
      <c r="N56" s="907"/>
      <c r="O56" s="907"/>
      <c r="P56" s="907"/>
      <c r="Q56" s="907"/>
      <c r="R56" s="907"/>
      <c r="S56" s="907"/>
      <c r="T56" s="907"/>
      <c r="U56" s="907"/>
      <c r="V56" s="907"/>
      <c r="W56" s="907"/>
      <c r="X56" s="907"/>
    </row>
    <row r="57" spans="2:24" s="905" customFormat="1" x14ac:dyDescent="0.25">
      <c r="B57" s="944"/>
      <c r="C57" s="944"/>
      <c r="D57" s="944"/>
      <c r="E57" s="944"/>
      <c r="F57" s="944"/>
      <c r="G57" s="944"/>
      <c r="H57" s="907"/>
      <c r="I57" s="907"/>
      <c r="J57" s="907"/>
      <c r="K57" s="907"/>
      <c r="L57" s="907"/>
      <c r="M57" s="907"/>
      <c r="N57" s="907"/>
      <c r="O57" s="907"/>
      <c r="P57" s="907"/>
      <c r="Q57" s="907"/>
      <c r="R57" s="907"/>
      <c r="S57" s="907"/>
      <c r="T57" s="907"/>
      <c r="U57" s="907"/>
      <c r="V57" s="907"/>
      <c r="W57" s="907"/>
      <c r="X57" s="907"/>
    </row>
    <row r="58" spans="2:24" s="905" customFormat="1" x14ac:dyDescent="0.25">
      <c r="B58" s="944"/>
      <c r="C58" s="944"/>
      <c r="D58" s="944"/>
      <c r="E58" s="944"/>
      <c r="F58" s="944"/>
      <c r="G58" s="944"/>
      <c r="H58" s="907"/>
      <c r="I58" s="907"/>
      <c r="J58" s="907"/>
      <c r="K58" s="907"/>
      <c r="L58" s="907"/>
      <c r="M58" s="907"/>
      <c r="N58" s="907"/>
      <c r="O58" s="907"/>
      <c r="P58" s="907"/>
      <c r="Q58" s="907"/>
      <c r="R58" s="907"/>
      <c r="S58" s="907"/>
      <c r="T58" s="907"/>
      <c r="U58" s="907"/>
      <c r="V58" s="907"/>
      <c r="W58" s="907"/>
      <c r="X58" s="907"/>
    </row>
    <row r="59" spans="2:24" s="905" customFormat="1" x14ac:dyDescent="0.25">
      <c r="B59" s="944"/>
      <c r="C59" s="944"/>
      <c r="D59" s="944"/>
      <c r="E59" s="944"/>
      <c r="F59" s="944"/>
      <c r="G59" s="944"/>
      <c r="H59" s="907"/>
      <c r="I59" s="907"/>
      <c r="J59" s="907"/>
      <c r="K59" s="907"/>
      <c r="L59" s="907"/>
      <c r="M59" s="907"/>
      <c r="N59" s="907"/>
      <c r="O59" s="907"/>
      <c r="P59" s="907"/>
      <c r="Q59" s="907"/>
      <c r="R59" s="907"/>
      <c r="S59" s="907"/>
      <c r="T59" s="907"/>
      <c r="U59" s="907"/>
      <c r="V59" s="907"/>
      <c r="W59" s="907"/>
      <c r="X59" s="907"/>
    </row>
    <row r="60" spans="2:24" s="905" customFormat="1" x14ac:dyDescent="0.25">
      <c r="B60" s="944"/>
      <c r="C60" s="944"/>
      <c r="D60" s="944"/>
      <c r="E60" s="944"/>
      <c r="F60" s="944"/>
      <c r="G60" s="944"/>
      <c r="H60" s="907"/>
      <c r="I60" s="907"/>
      <c r="J60" s="907"/>
      <c r="K60" s="907"/>
      <c r="L60" s="907"/>
      <c r="M60" s="907"/>
      <c r="N60" s="907"/>
      <c r="O60" s="907"/>
      <c r="P60" s="907"/>
      <c r="Q60" s="907"/>
      <c r="R60" s="907"/>
      <c r="S60" s="907"/>
      <c r="T60" s="907"/>
      <c r="U60" s="907"/>
      <c r="V60" s="907"/>
      <c r="W60" s="907"/>
      <c r="X60" s="907"/>
    </row>
    <row r="61" spans="2:24" s="905" customFormat="1" x14ac:dyDescent="0.25">
      <c r="B61" s="944"/>
      <c r="C61" s="944"/>
      <c r="D61" s="944"/>
      <c r="E61" s="944"/>
      <c r="F61" s="944"/>
      <c r="G61" s="944"/>
      <c r="H61" s="907"/>
      <c r="I61" s="907"/>
      <c r="J61" s="907"/>
      <c r="K61" s="907"/>
      <c r="L61" s="907"/>
      <c r="M61" s="907"/>
      <c r="N61" s="907"/>
      <c r="O61" s="907"/>
      <c r="P61" s="907"/>
      <c r="Q61" s="907"/>
      <c r="R61" s="907"/>
      <c r="S61" s="907"/>
      <c r="T61" s="907"/>
      <c r="U61" s="907"/>
      <c r="V61" s="907"/>
      <c r="W61" s="907"/>
      <c r="X61" s="907"/>
    </row>
    <row r="62" spans="2:24" s="905" customFormat="1" x14ac:dyDescent="0.25">
      <c r="B62" s="944"/>
      <c r="C62" s="944"/>
      <c r="D62" s="944"/>
      <c r="E62" s="944"/>
      <c r="F62" s="944"/>
      <c r="G62" s="944"/>
      <c r="H62" s="907"/>
      <c r="I62" s="907"/>
      <c r="J62" s="907"/>
      <c r="K62" s="907"/>
      <c r="L62" s="907"/>
      <c r="M62" s="907"/>
      <c r="N62" s="907"/>
      <c r="O62" s="907"/>
      <c r="P62" s="907"/>
      <c r="Q62" s="907"/>
      <c r="R62" s="907"/>
      <c r="S62" s="907"/>
      <c r="T62" s="907"/>
      <c r="U62" s="907"/>
      <c r="V62" s="907"/>
      <c r="W62" s="907"/>
      <c r="X62" s="907"/>
    </row>
    <row r="63" spans="2:24" s="905" customFormat="1" x14ac:dyDescent="0.25">
      <c r="B63" s="944"/>
      <c r="C63" s="944"/>
      <c r="D63" s="944"/>
      <c r="E63" s="944"/>
      <c r="F63" s="944"/>
      <c r="G63" s="944"/>
      <c r="H63" s="907"/>
      <c r="I63" s="907"/>
      <c r="J63" s="907"/>
      <c r="K63" s="907"/>
      <c r="L63" s="907"/>
      <c r="M63" s="907"/>
      <c r="N63" s="907"/>
      <c r="O63" s="907"/>
      <c r="P63" s="907"/>
      <c r="Q63" s="907"/>
      <c r="R63" s="907"/>
      <c r="S63" s="907"/>
      <c r="T63" s="907"/>
      <c r="U63" s="907"/>
      <c r="V63" s="907"/>
      <c r="W63" s="907"/>
      <c r="X63" s="907"/>
    </row>
    <row r="64" spans="2:24" s="905" customFormat="1" x14ac:dyDescent="0.25">
      <c r="B64" s="944"/>
      <c r="C64" s="944"/>
      <c r="D64" s="944"/>
      <c r="E64" s="944"/>
      <c r="F64" s="944"/>
      <c r="G64" s="944"/>
      <c r="H64" s="907"/>
      <c r="I64" s="907"/>
      <c r="J64" s="907"/>
      <c r="K64" s="907"/>
      <c r="L64" s="907"/>
      <c r="M64" s="907"/>
      <c r="N64" s="907"/>
      <c r="O64" s="907"/>
      <c r="P64" s="907"/>
      <c r="Q64" s="907"/>
      <c r="R64" s="907"/>
      <c r="S64" s="907"/>
      <c r="T64" s="907"/>
      <c r="U64" s="907"/>
      <c r="V64" s="907"/>
      <c r="W64" s="907"/>
      <c r="X64" s="907"/>
    </row>
    <row r="65" spans="2:24" s="905" customFormat="1" x14ac:dyDescent="0.25">
      <c r="B65" s="944"/>
      <c r="C65" s="944"/>
      <c r="D65" s="944"/>
      <c r="E65" s="944"/>
      <c r="F65" s="944"/>
      <c r="G65" s="944"/>
      <c r="H65" s="907"/>
      <c r="I65" s="907"/>
      <c r="J65" s="907"/>
      <c r="K65" s="907"/>
      <c r="L65" s="907"/>
      <c r="M65" s="907"/>
      <c r="N65" s="907"/>
      <c r="O65" s="907"/>
      <c r="P65" s="907"/>
      <c r="Q65" s="907"/>
      <c r="R65" s="907"/>
      <c r="S65" s="907"/>
      <c r="T65" s="907"/>
      <c r="U65" s="907"/>
      <c r="V65" s="907"/>
      <c r="W65" s="907"/>
      <c r="X65" s="907"/>
    </row>
    <row r="66" spans="2:24" s="905" customFormat="1" x14ac:dyDescent="0.25">
      <c r="B66" s="944"/>
      <c r="C66" s="944"/>
      <c r="D66" s="944"/>
      <c r="E66" s="944"/>
      <c r="F66" s="944"/>
      <c r="G66" s="944"/>
      <c r="H66" s="907"/>
      <c r="I66" s="907"/>
      <c r="J66" s="907"/>
      <c r="K66" s="907"/>
      <c r="L66" s="907"/>
      <c r="M66" s="907"/>
      <c r="N66" s="907"/>
      <c r="O66" s="907"/>
      <c r="P66" s="907"/>
      <c r="Q66" s="907"/>
      <c r="R66" s="907"/>
      <c r="S66" s="907"/>
      <c r="T66" s="907"/>
      <c r="U66" s="907"/>
      <c r="V66" s="907"/>
      <c r="W66" s="907"/>
      <c r="X66" s="907"/>
    </row>
    <row r="67" spans="2:24" s="905" customFormat="1" x14ac:dyDescent="0.25">
      <c r="B67" s="944"/>
      <c r="C67" s="944"/>
      <c r="D67" s="944"/>
      <c r="E67" s="944"/>
      <c r="F67" s="944"/>
      <c r="G67" s="944"/>
      <c r="H67" s="907"/>
      <c r="I67" s="907"/>
      <c r="J67" s="907"/>
      <c r="K67" s="907"/>
      <c r="L67" s="907"/>
      <c r="M67" s="907"/>
      <c r="N67" s="907"/>
      <c r="O67" s="907"/>
      <c r="P67" s="907"/>
      <c r="Q67" s="907"/>
      <c r="R67" s="907"/>
      <c r="S67" s="907"/>
      <c r="T67" s="907"/>
      <c r="U67" s="907"/>
      <c r="V67" s="907"/>
      <c r="W67" s="907"/>
      <c r="X67" s="907"/>
    </row>
    <row r="68" spans="2:24" s="905" customFormat="1" x14ac:dyDescent="0.25">
      <c r="B68" s="944"/>
      <c r="C68" s="944"/>
      <c r="D68" s="944"/>
      <c r="E68" s="944"/>
      <c r="F68" s="944"/>
      <c r="G68" s="944"/>
      <c r="H68" s="907"/>
      <c r="I68" s="907"/>
      <c r="J68" s="907"/>
      <c r="K68" s="907"/>
      <c r="L68" s="907"/>
      <c r="M68" s="907"/>
      <c r="N68" s="907"/>
      <c r="O68" s="907"/>
      <c r="P68" s="907"/>
      <c r="Q68" s="907"/>
      <c r="R68" s="907"/>
      <c r="S68" s="907"/>
      <c r="T68" s="907"/>
      <c r="U68" s="907"/>
      <c r="V68" s="907"/>
      <c r="W68" s="907"/>
      <c r="X68" s="907"/>
    </row>
    <row r="69" spans="2:24" x14ac:dyDescent="0.25">
      <c r="G69" s="889"/>
    </row>
  </sheetData>
  <sheetProtection password="A53B" sheet="1" objects="1" scenarios="1"/>
  <mergeCells count="13">
    <mergeCell ref="H29:I29"/>
    <mergeCell ref="H30:I30"/>
    <mergeCell ref="H37:I37"/>
    <mergeCell ref="H38:I38"/>
    <mergeCell ref="H14:I14"/>
    <mergeCell ref="D4:E4"/>
    <mergeCell ref="H13:I13"/>
    <mergeCell ref="H21:I21"/>
    <mergeCell ref="H22:I22"/>
    <mergeCell ref="L3:N3"/>
    <mergeCell ref="H4:I4"/>
    <mergeCell ref="H5:I5"/>
    <mergeCell ref="D5:E5"/>
  </mergeCells>
  <dataValidations count="8">
    <dataValidation type="list" allowBlank="1" showInputMessage="1" showErrorMessage="1" sqref="K16:K18 G10">
      <formula1>Qual_lavage</formula1>
    </dataValidation>
    <dataValidation type="list" allowBlank="1" showInputMessage="1" showErrorMessage="1" sqref="F10">
      <formula1>Dil_lisier</formula1>
    </dataValidation>
    <dataValidation type="list" allowBlank="1" showInputMessage="1" showErrorMessage="1" sqref="F7">
      <formula1>INDIRECT($C$21)</formula1>
    </dataValidation>
    <dataValidation type="list" allowBlank="1" showInputMessage="1" showErrorMessage="1" sqref="G7">
      <formula1>INDIRECT($D$21)</formula1>
    </dataValidation>
    <dataValidation type="list" allowBlank="1" showInputMessage="1" showErrorMessage="1" sqref="F8">
      <formula1>INDIRECT($C$22)</formula1>
    </dataValidation>
    <dataValidation type="list" allowBlank="1" showInputMessage="1" showErrorMessage="1" sqref="F9">
      <formula1>INDIRECT($C$23)</formula1>
    </dataValidation>
    <dataValidation type="list" allowBlank="1" showInputMessage="1" showErrorMessage="1" sqref="G8">
      <formula1>INDIRECT($D$22)</formula1>
    </dataValidation>
    <dataValidation type="list" allowBlank="1" showInputMessage="1" showErrorMessage="1" sqref="G9">
      <formula1>INDIRECT($D$23)</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rgb="FFFF6699"/>
  </sheetPr>
  <dimension ref="A1:AV66"/>
  <sheetViews>
    <sheetView showGridLines="0" showRowColHeaders="0" workbookViewId="0">
      <selection activeCell="A37" sqref="A37"/>
    </sheetView>
  </sheetViews>
  <sheetFormatPr baseColWidth="10" defaultRowHeight="15" x14ac:dyDescent="0.25"/>
  <cols>
    <col min="1" max="1" width="31.85546875" style="975" customWidth="1"/>
    <col min="2" max="2" width="7.85546875" style="975" customWidth="1"/>
    <col min="3" max="3" width="25.28515625" style="975" customWidth="1"/>
    <col min="4" max="14" width="11.42578125" style="975"/>
    <col min="15" max="15" width="4.28515625" style="975" customWidth="1"/>
    <col min="16" max="48" width="11.42578125" style="976"/>
    <col min="49" max="16384" width="11.42578125" style="975"/>
  </cols>
  <sheetData>
    <row r="1" spans="1:16" ht="23.25" x14ac:dyDescent="0.35">
      <c r="A1" s="972" t="s">
        <v>889</v>
      </c>
      <c r="B1" s="973"/>
      <c r="C1" s="974"/>
    </row>
    <row r="2" spans="1:16" x14ac:dyDescent="0.25">
      <c r="C2" s="977" t="s">
        <v>1053</v>
      </c>
      <c r="D2" s="978"/>
      <c r="E2" s="1124" t="s">
        <v>644</v>
      </c>
      <c r="F2" s="1125"/>
      <c r="G2" s="313"/>
      <c r="H2" s="312"/>
      <c r="I2" s="312"/>
      <c r="J2" s="312"/>
      <c r="K2" s="312"/>
      <c r="L2" s="312"/>
      <c r="M2" s="312"/>
      <c r="N2" s="312"/>
      <c r="O2" s="312"/>
    </row>
    <row r="3" spans="1:16" x14ac:dyDescent="0.25">
      <c r="B3" s="313"/>
      <c r="C3" s="313"/>
      <c r="D3" s="313"/>
      <c r="E3" s="313"/>
      <c r="F3" s="313"/>
      <c r="G3" s="313"/>
      <c r="H3" s="313"/>
      <c r="I3" s="312"/>
      <c r="J3" s="312"/>
      <c r="K3" s="312"/>
      <c r="L3" s="312"/>
      <c r="M3" s="312"/>
      <c r="N3" s="312"/>
      <c r="O3" s="312"/>
      <c r="P3" s="904"/>
    </row>
    <row r="4" spans="1:16" x14ac:dyDescent="0.25">
      <c r="A4" s="554" t="s">
        <v>926</v>
      </c>
      <c r="B4" s="313"/>
      <c r="C4" s="313"/>
      <c r="D4" s="979" t="s">
        <v>477</v>
      </c>
      <c r="E4" s="980" t="s">
        <v>478</v>
      </c>
      <c r="F4" s="980" t="s">
        <v>479</v>
      </c>
      <c r="G4" s="980" t="s">
        <v>480</v>
      </c>
      <c r="H4" s="980" t="s">
        <v>481</v>
      </c>
      <c r="I4" s="980" t="s">
        <v>482</v>
      </c>
      <c r="J4" s="980" t="s">
        <v>559</v>
      </c>
      <c r="K4" s="980" t="s">
        <v>479</v>
      </c>
      <c r="L4" s="980" t="s">
        <v>480</v>
      </c>
      <c r="M4" s="980" t="s">
        <v>481</v>
      </c>
      <c r="N4" s="980" t="s">
        <v>482</v>
      </c>
      <c r="O4" s="312"/>
      <c r="P4" s="904"/>
    </row>
    <row r="5" spans="1:16" ht="15.75" thickBot="1" x14ac:dyDescent="0.3">
      <c r="A5" s="554" t="s">
        <v>927</v>
      </c>
      <c r="B5" s="313"/>
      <c r="C5" s="981" t="s">
        <v>484</v>
      </c>
      <c r="D5" s="982" t="s">
        <v>17</v>
      </c>
      <c r="E5" s="983" t="s">
        <v>205</v>
      </c>
      <c r="F5" s="983" t="s">
        <v>205</v>
      </c>
      <c r="G5" s="983" t="s">
        <v>205</v>
      </c>
      <c r="H5" s="983" t="s">
        <v>483</v>
      </c>
      <c r="I5" s="983" t="s">
        <v>483</v>
      </c>
      <c r="J5" s="983" t="s">
        <v>17</v>
      </c>
      <c r="K5" s="983" t="s">
        <v>560</v>
      </c>
      <c r="L5" s="983" t="s">
        <v>561</v>
      </c>
      <c r="M5" s="984" t="s">
        <v>562</v>
      </c>
      <c r="N5" s="984" t="s">
        <v>563</v>
      </c>
      <c r="O5" s="312"/>
      <c r="P5" s="904"/>
    </row>
    <row r="6" spans="1:16" x14ac:dyDescent="0.25">
      <c r="A6" s="985"/>
      <c r="B6" s="986">
        <v>1</v>
      </c>
      <c r="C6" s="899" t="s">
        <v>615</v>
      </c>
      <c r="D6" s="629">
        <v>48000</v>
      </c>
      <c r="E6" s="630">
        <v>16.5</v>
      </c>
      <c r="F6" s="630">
        <v>0.6</v>
      </c>
      <c r="G6" s="630"/>
      <c r="H6" s="629"/>
      <c r="I6" s="629"/>
      <c r="J6" s="987">
        <f>IF(D6&lt;&gt;0,+E6/100*D6/6.25,"")</f>
        <v>1267.2</v>
      </c>
      <c r="K6" s="987">
        <f>IF(D6&lt;&gt;0,+F6/100*D6,"")</f>
        <v>288</v>
      </c>
      <c r="L6" s="987">
        <f>IF(D6&lt;&gt;0,+G6/100*D6,"")</f>
        <v>0</v>
      </c>
      <c r="M6" s="987">
        <f>IF(D6&lt;&gt;0,+H6/1000*D6,"")</f>
        <v>0</v>
      </c>
      <c r="N6" s="988">
        <f>IF(D6&lt;&gt;0,+I6/1000*D6,"")</f>
        <v>0</v>
      </c>
      <c r="O6" s="312"/>
      <c r="P6" s="904"/>
    </row>
    <row r="7" spans="1:16" x14ac:dyDescent="0.25">
      <c r="A7" s="989"/>
      <c r="B7" s="990">
        <f t="shared" ref="B7:B65" si="0">+B6+1</f>
        <v>2</v>
      </c>
      <c r="C7" s="900" t="s">
        <v>616</v>
      </c>
      <c r="D7" s="625">
        <v>192000</v>
      </c>
      <c r="E7" s="626">
        <v>14</v>
      </c>
      <c r="F7" s="626">
        <v>0.5</v>
      </c>
      <c r="G7" s="626"/>
      <c r="H7" s="625"/>
      <c r="I7" s="625"/>
      <c r="J7" s="991">
        <f t="shared" ref="J7:J34" si="1">IF(D7&lt;&gt;0,+E7/100*D7/6.25,"")</f>
        <v>4300.8</v>
      </c>
      <c r="K7" s="991">
        <f t="shared" ref="K7:K34" si="2">IF(D7&lt;&gt;0,+F7/100*D7,"")</f>
        <v>960</v>
      </c>
      <c r="L7" s="991">
        <f t="shared" ref="L7:L34" si="3">IF(D7&lt;&gt;0,+G7/100*D7,"")</f>
        <v>0</v>
      </c>
      <c r="M7" s="991">
        <f t="shared" ref="M7:M34" si="4">IF(D7&lt;&gt;0,+H7/1000*D7,"")</f>
        <v>0</v>
      </c>
      <c r="N7" s="992">
        <f t="shared" ref="N7:N34" si="5">IF(D7&lt;&gt;0,+I7/1000*D7,"")</f>
        <v>0</v>
      </c>
      <c r="O7" s="312"/>
      <c r="P7" s="904"/>
    </row>
    <row r="8" spans="1:16" x14ac:dyDescent="0.25">
      <c r="A8" s="989"/>
      <c r="B8" s="990">
        <f t="shared" si="0"/>
        <v>3</v>
      </c>
      <c r="C8" s="900"/>
      <c r="D8" s="625"/>
      <c r="E8" s="626"/>
      <c r="F8" s="626"/>
      <c r="G8" s="626"/>
      <c r="H8" s="625"/>
      <c r="I8" s="625"/>
      <c r="J8" s="991" t="str">
        <f t="shared" si="1"/>
        <v/>
      </c>
      <c r="K8" s="991" t="str">
        <f t="shared" si="2"/>
        <v/>
      </c>
      <c r="L8" s="991" t="str">
        <f t="shared" si="3"/>
        <v/>
      </c>
      <c r="M8" s="991" t="str">
        <f t="shared" si="4"/>
        <v/>
      </c>
      <c r="N8" s="992" t="str">
        <f t="shared" si="5"/>
        <v/>
      </c>
      <c r="O8" s="312"/>
      <c r="P8" s="904"/>
    </row>
    <row r="9" spans="1:16" x14ac:dyDescent="0.25">
      <c r="A9" s="993" t="str">
        <f>'Feuille saisie commune'!C15</f>
        <v>Truies et verrats</v>
      </c>
      <c r="B9" s="990">
        <f t="shared" si="0"/>
        <v>4</v>
      </c>
      <c r="C9" s="900"/>
      <c r="D9" s="625"/>
      <c r="E9" s="626"/>
      <c r="F9" s="626"/>
      <c r="G9" s="626"/>
      <c r="H9" s="625"/>
      <c r="I9" s="625"/>
      <c r="J9" s="991" t="str">
        <f t="shared" si="1"/>
        <v/>
      </c>
      <c r="K9" s="991" t="str">
        <f t="shared" si="2"/>
        <v/>
      </c>
      <c r="L9" s="991" t="str">
        <f t="shared" si="3"/>
        <v/>
      </c>
      <c r="M9" s="991" t="str">
        <f t="shared" si="4"/>
        <v/>
      </c>
      <c r="N9" s="992" t="str">
        <f t="shared" si="5"/>
        <v/>
      </c>
      <c r="O9" s="312"/>
      <c r="P9" s="904"/>
    </row>
    <row r="10" spans="1:16" x14ac:dyDescent="0.25">
      <c r="A10" s="993" t="str">
        <f>'Feuille saisie commune'!F15</f>
        <v>Fosse stockage 2</v>
      </c>
      <c r="B10" s="990">
        <f t="shared" si="0"/>
        <v>5</v>
      </c>
      <c r="C10" s="900"/>
      <c r="D10" s="625"/>
      <c r="E10" s="626"/>
      <c r="F10" s="626"/>
      <c r="G10" s="626"/>
      <c r="H10" s="625"/>
      <c r="I10" s="625"/>
      <c r="J10" s="991" t="str">
        <f t="shared" si="1"/>
        <v/>
      </c>
      <c r="K10" s="991" t="str">
        <f t="shared" si="2"/>
        <v/>
      </c>
      <c r="L10" s="991" t="str">
        <f t="shared" si="3"/>
        <v/>
      </c>
      <c r="M10" s="991" t="str">
        <f t="shared" si="4"/>
        <v/>
      </c>
      <c r="N10" s="992" t="str">
        <f t="shared" si="5"/>
        <v/>
      </c>
      <c r="O10" s="312"/>
      <c r="P10" s="904"/>
    </row>
    <row r="11" spans="1:16" x14ac:dyDescent="0.25">
      <c r="A11" s="989"/>
      <c r="B11" s="990">
        <f t="shared" si="0"/>
        <v>6</v>
      </c>
      <c r="C11" s="900"/>
      <c r="D11" s="625"/>
      <c r="E11" s="626"/>
      <c r="F11" s="626"/>
      <c r="G11" s="626"/>
      <c r="H11" s="625"/>
      <c r="I11" s="625"/>
      <c r="J11" s="991" t="str">
        <f t="shared" si="1"/>
        <v/>
      </c>
      <c r="K11" s="991" t="str">
        <f t="shared" si="2"/>
        <v/>
      </c>
      <c r="L11" s="991" t="str">
        <f t="shared" si="3"/>
        <v/>
      </c>
      <c r="M11" s="991" t="str">
        <f t="shared" si="4"/>
        <v/>
      </c>
      <c r="N11" s="992" t="str">
        <f t="shared" si="5"/>
        <v/>
      </c>
    </row>
    <row r="12" spans="1:16" x14ac:dyDescent="0.25">
      <c r="A12" s="989"/>
      <c r="B12" s="990">
        <f t="shared" si="0"/>
        <v>7</v>
      </c>
      <c r="C12" s="900"/>
      <c r="D12" s="627"/>
      <c r="E12" s="628"/>
      <c r="F12" s="626"/>
      <c r="G12" s="626"/>
      <c r="H12" s="625"/>
      <c r="I12" s="625"/>
      <c r="J12" s="994" t="str">
        <f t="shared" si="1"/>
        <v/>
      </c>
      <c r="K12" s="994" t="str">
        <f t="shared" si="2"/>
        <v/>
      </c>
      <c r="L12" s="994" t="str">
        <f t="shared" si="3"/>
        <v/>
      </c>
      <c r="M12" s="994" t="str">
        <f t="shared" si="4"/>
        <v/>
      </c>
      <c r="N12" s="995" t="str">
        <f t="shared" si="5"/>
        <v/>
      </c>
    </row>
    <row r="13" spans="1:16" x14ac:dyDescent="0.25">
      <c r="A13" s="989"/>
      <c r="B13" s="990">
        <f t="shared" si="0"/>
        <v>8</v>
      </c>
      <c r="C13" s="900"/>
      <c r="D13" s="627"/>
      <c r="E13" s="628"/>
      <c r="F13" s="626"/>
      <c r="G13" s="626"/>
      <c r="H13" s="625"/>
      <c r="I13" s="625"/>
      <c r="J13" s="994" t="str">
        <f>IF(D13&lt;&gt;0,+E13/100*D13/6.25,"")</f>
        <v/>
      </c>
      <c r="K13" s="994" t="str">
        <f>IF(D13&lt;&gt;0,+F13/100*D13,"")</f>
        <v/>
      </c>
      <c r="L13" s="994" t="str">
        <f>IF(D13&lt;&gt;0,+G13/100*D13,"")</f>
        <v/>
      </c>
      <c r="M13" s="994" t="str">
        <f>IF(D13&lt;&gt;0,+H13/1000*D13,"")</f>
        <v/>
      </c>
      <c r="N13" s="995" t="str">
        <f>IF(D13&lt;&gt;0,+I13/1000*D13,"")</f>
        <v/>
      </c>
    </row>
    <row r="14" spans="1:16" ht="15.75" thickBot="1" x14ac:dyDescent="0.3">
      <c r="A14" s="989"/>
      <c r="B14" s="990">
        <f t="shared" si="0"/>
        <v>9</v>
      </c>
      <c r="C14" s="900"/>
      <c r="D14" s="627"/>
      <c r="E14" s="628"/>
      <c r="F14" s="626"/>
      <c r="G14" s="626"/>
      <c r="H14" s="625"/>
      <c r="I14" s="625"/>
      <c r="J14" s="994" t="str">
        <f t="shared" si="1"/>
        <v/>
      </c>
      <c r="K14" s="994" t="str">
        <f t="shared" si="2"/>
        <v/>
      </c>
      <c r="L14" s="994" t="str">
        <f t="shared" si="3"/>
        <v/>
      </c>
      <c r="M14" s="994" t="str">
        <f t="shared" si="4"/>
        <v/>
      </c>
      <c r="N14" s="995" t="str">
        <f t="shared" si="5"/>
        <v/>
      </c>
    </row>
    <row r="15" spans="1:16" ht="15.75" thickBot="1" x14ac:dyDescent="0.3">
      <c r="A15" s="996" t="s">
        <v>980</v>
      </c>
      <c r="B15" s="997">
        <f t="shared" si="0"/>
        <v>10</v>
      </c>
      <c r="C15" s="998"/>
      <c r="D15" s="999">
        <f>SUM(D6:D14)</f>
        <v>240000</v>
      </c>
      <c r="E15" s="1000"/>
      <c r="F15" s="1001"/>
      <c r="G15" s="1001"/>
      <c r="H15" s="1001"/>
      <c r="I15" s="1001"/>
      <c r="J15" s="1002">
        <f>SUM(J6:J14)</f>
        <v>5568</v>
      </c>
      <c r="K15" s="1002">
        <f>SUM(K6:K14)</f>
        <v>1248</v>
      </c>
      <c r="L15" s="1002">
        <f t="shared" ref="L15:N15" si="6">SUM(L6:L14)</f>
        <v>0</v>
      </c>
      <c r="M15" s="1002">
        <f t="shared" si="6"/>
        <v>0</v>
      </c>
      <c r="N15" s="1003">
        <f t="shared" si="6"/>
        <v>0</v>
      </c>
    </row>
    <row r="16" spans="1:16" x14ac:dyDescent="0.25">
      <c r="A16" s="989"/>
      <c r="B16" s="990">
        <f t="shared" si="0"/>
        <v>11</v>
      </c>
      <c r="C16" s="900" t="s">
        <v>617</v>
      </c>
      <c r="D16" s="625">
        <v>22400</v>
      </c>
      <c r="E16" s="626">
        <v>20</v>
      </c>
      <c r="F16" s="626">
        <v>0.68</v>
      </c>
      <c r="G16" s="626"/>
      <c r="H16" s="625"/>
      <c r="I16" s="625"/>
      <c r="J16" s="994">
        <f t="shared" si="1"/>
        <v>716.8</v>
      </c>
      <c r="K16" s="994">
        <f t="shared" si="2"/>
        <v>152.32000000000002</v>
      </c>
      <c r="L16" s="994">
        <f t="shared" si="3"/>
        <v>0</v>
      </c>
      <c r="M16" s="994">
        <f t="shared" si="4"/>
        <v>0</v>
      </c>
      <c r="N16" s="995">
        <f t="shared" si="5"/>
        <v>0</v>
      </c>
    </row>
    <row r="17" spans="1:14" x14ac:dyDescent="0.25">
      <c r="A17" s="989"/>
      <c r="B17" s="990">
        <f t="shared" si="0"/>
        <v>12</v>
      </c>
      <c r="C17" s="900" t="s">
        <v>618</v>
      </c>
      <c r="D17" s="625">
        <v>149094</v>
      </c>
      <c r="E17" s="626">
        <v>18</v>
      </c>
      <c r="F17" s="626">
        <v>0.57999999999999996</v>
      </c>
      <c r="G17" s="626"/>
      <c r="H17" s="625"/>
      <c r="I17" s="625"/>
      <c r="J17" s="994">
        <f t="shared" si="1"/>
        <v>4293.9071999999996</v>
      </c>
      <c r="K17" s="994">
        <f t="shared" si="2"/>
        <v>864.74519999999995</v>
      </c>
      <c r="L17" s="994">
        <f t="shared" si="3"/>
        <v>0</v>
      </c>
      <c r="M17" s="994">
        <f t="shared" si="4"/>
        <v>0</v>
      </c>
      <c r="N17" s="995">
        <f t="shared" si="5"/>
        <v>0</v>
      </c>
    </row>
    <row r="18" spans="1:14" x14ac:dyDescent="0.25">
      <c r="A18" s="989"/>
      <c r="B18" s="990">
        <f t="shared" si="0"/>
        <v>13</v>
      </c>
      <c r="C18" s="900"/>
      <c r="D18" s="627"/>
      <c r="E18" s="628"/>
      <c r="F18" s="626"/>
      <c r="G18" s="626"/>
      <c r="H18" s="625"/>
      <c r="I18" s="625"/>
      <c r="J18" s="994" t="str">
        <f>IF(D18&lt;&gt;0,+E18/100*D18/6.25,"")</f>
        <v/>
      </c>
      <c r="K18" s="994" t="str">
        <f>IF(D18&lt;&gt;0,+F18/100*D18,"")</f>
        <v/>
      </c>
      <c r="L18" s="994" t="str">
        <f>IF(D18&lt;&gt;0,+G18/100*D18,"")</f>
        <v/>
      </c>
      <c r="M18" s="994" t="str">
        <f>IF(D18&lt;&gt;0,+H18/1000*D18,"")</f>
        <v/>
      </c>
      <c r="N18" s="995" t="str">
        <f>IF(D18&lt;&gt;0,+I18/1000*D18,"")</f>
        <v/>
      </c>
    </row>
    <row r="19" spans="1:14" x14ac:dyDescent="0.25">
      <c r="A19" s="993" t="str">
        <f>'Feuille saisie commune'!C16</f>
        <v>Post-sevrage</v>
      </c>
      <c r="B19" s="990">
        <f t="shared" si="0"/>
        <v>14</v>
      </c>
      <c r="C19" s="900"/>
      <c r="D19" s="627"/>
      <c r="E19" s="628"/>
      <c r="F19" s="626"/>
      <c r="G19" s="626"/>
      <c r="H19" s="625"/>
      <c r="I19" s="625"/>
      <c r="J19" s="994" t="str">
        <f t="shared" si="1"/>
        <v/>
      </c>
      <c r="K19" s="994" t="str">
        <f t="shared" si="2"/>
        <v/>
      </c>
      <c r="L19" s="994" t="str">
        <f t="shared" si="3"/>
        <v/>
      </c>
      <c r="M19" s="994" t="str">
        <f t="shared" si="4"/>
        <v/>
      </c>
      <c r="N19" s="995" t="str">
        <f t="shared" si="5"/>
        <v/>
      </c>
    </row>
    <row r="20" spans="1:14" x14ac:dyDescent="0.25">
      <c r="A20" s="993" t="str">
        <f>'Feuille saisie commune'!F16</f>
        <v>Fumière (fumier paille compostée)</v>
      </c>
      <c r="B20" s="990">
        <f t="shared" si="0"/>
        <v>15</v>
      </c>
      <c r="C20" s="900"/>
      <c r="D20" s="627"/>
      <c r="E20" s="628"/>
      <c r="F20" s="626"/>
      <c r="G20" s="626"/>
      <c r="H20" s="625"/>
      <c r="I20" s="625"/>
      <c r="J20" s="994" t="str">
        <f t="shared" si="1"/>
        <v/>
      </c>
      <c r="K20" s="994" t="str">
        <f t="shared" si="2"/>
        <v/>
      </c>
      <c r="L20" s="994" t="str">
        <f t="shared" si="3"/>
        <v/>
      </c>
      <c r="M20" s="994" t="str">
        <f t="shared" si="4"/>
        <v/>
      </c>
      <c r="N20" s="995" t="str">
        <f t="shared" si="5"/>
        <v/>
      </c>
    </row>
    <row r="21" spans="1:14" x14ac:dyDescent="0.25">
      <c r="A21" s="989"/>
      <c r="B21" s="990">
        <f t="shared" si="0"/>
        <v>16</v>
      </c>
      <c r="C21" s="900"/>
      <c r="D21" s="627"/>
      <c r="E21" s="628"/>
      <c r="F21" s="626"/>
      <c r="G21" s="626"/>
      <c r="H21" s="625"/>
      <c r="I21" s="625"/>
      <c r="J21" s="994" t="str">
        <f t="shared" si="1"/>
        <v/>
      </c>
      <c r="K21" s="994" t="str">
        <f t="shared" si="2"/>
        <v/>
      </c>
      <c r="L21" s="994" t="str">
        <f t="shared" si="3"/>
        <v/>
      </c>
      <c r="M21" s="994" t="str">
        <f t="shared" si="4"/>
        <v/>
      </c>
      <c r="N21" s="995" t="str">
        <f t="shared" si="5"/>
        <v/>
      </c>
    </row>
    <row r="22" spans="1:14" x14ac:dyDescent="0.25">
      <c r="A22" s="989"/>
      <c r="B22" s="990">
        <f t="shared" si="0"/>
        <v>17</v>
      </c>
      <c r="C22" s="900"/>
      <c r="D22" s="627"/>
      <c r="E22" s="628"/>
      <c r="F22" s="626"/>
      <c r="G22" s="626"/>
      <c r="H22" s="625"/>
      <c r="I22" s="625"/>
      <c r="J22" s="994" t="str">
        <f t="shared" si="1"/>
        <v/>
      </c>
      <c r="K22" s="994" t="str">
        <f t="shared" si="2"/>
        <v/>
      </c>
      <c r="L22" s="994" t="str">
        <f t="shared" si="3"/>
        <v/>
      </c>
      <c r="M22" s="994" t="str">
        <f t="shared" si="4"/>
        <v/>
      </c>
      <c r="N22" s="995" t="str">
        <f t="shared" si="5"/>
        <v/>
      </c>
    </row>
    <row r="23" spans="1:14" x14ac:dyDescent="0.25">
      <c r="A23" s="989"/>
      <c r="B23" s="990">
        <f t="shared" si="0"/>
        <v>18</v>
      </c>
      <c r="C23" s="900"/>
      <c r="D23" s="627"/>
      <c r="E23" s="628"/>
      <c r="F23" s="626"/>
      <c r="G23" s="626"/>
      <c r="H23" s="625"/>
      <c r="I23" s="625"/>
      <c r="J23" s="994" t="str">
        <f t="shared" si="1"/>
        <v/>
      </c>
      <c r="K23" s="994" t="str">
        <f t="shared" si="2"/>
        <v/>
      </c>
      <c r="L23" s="994" t="str">
        <f t="shared" si="3"/>
        <v/>
      </c>
      <c r="M23" s="994" t="str">
        <f t="shared" si="4"/>
        <v/>
      </c>
      <c r="N23" s="995" t="str">
        <f t="shared" si="5"/>
        <v/>
      </c>
    </row>
    <row r="24" spans="1:14" ht="15.75" thickBot="1" x14ac:dyDescent="0.3">
      <c r="A24" s="989"/>
      <c r="B24" s="990">
        <f t="shared" si="0"/>
        <v>19</v>
      </c>
      <c r="C24" s="900"/>
      <c r="D24" s="627"/>
      <c r="E24" s="628"/>
      <c r="F24" s="626"/>
      <c r="G24" s="626"/>
      <c r="H24" s="625"/>
      <c r="I24" s="625"/>
      <c r="J24" s="994" t="str">
        <f t="shared" si="1"/>
        <v/>
      </c>
      <c r="K24" s="994" t="str">
        <f t="shared" si="2"/>
        <v/>
      </c>
      <c r="L24" s="994" t="str">
        <f t="shared" si="3"/>
        <v/>
      </c>
      <c r="M24" s="994" t="str">
        <f t="shared" si="4"/>
        <v/>
      </c>
      <c r="N24" s="995" t="str">
        <f t="shared" si="5"/>
        <v/>
      </c>
    </row>
    <row r="25" spans="1:14" ht="15.75" thickBot="1" x14ac:dyDescent="0.3">
      <c r="A25" s="996" t="s">
        <v>980</v>
      </c>
      <c r="B25" s="997">
        <f t="shared" si="0"/>
        <v>20</v>
      </c>
      <c r="C25" s="998"/>
      <c r="D25" s="999">
        <f>SUM(D16:D24)</f>
        <v>171494</v>
      </c>
      <c r="E25" s="999"/>
      <c r="F25" s="999"/>
      <c r="G25" s="999"/>
      <c r="H25" s="999"/>
      <c r="I25" s="999"/>
      <c r="J25" s="999">
        <f t="shared" ref="J25:N25" si="7">SUM(J16:J24)</f>
        <v>5010.7071999999998</v>
      </c>
      <c r="K25" s="999">
        <f t="shared" si="7"/>
        <v>1017.0652</v>
      </c>
      <c r="L25" s="999">
        <f t="shared" si="7"/>
        <v>0</v>
      </c>
      <c r="M25" s="999">
        <f t="shared" si="7"/>
        <v>0</v>
      </c>
      <c r="N25" s="1004">
        <f t="shared" si="7"/>
        <v>0</v>
      </c>
    </row>
    <row r="26" spans="1:14" x14ac:dyDescent="0.25">
      <c r="A26" s="985"/>
      <c r="B26" s="986">
        <f t="shared" si="0"/>
        <v>21</v>
      </c>
      <c r="C26" s="899" t="s">
        <v>619</v>
      </c>
      <c r="D26" s="629">
        <v>420260</v>
      </c>
      <c r="E26" s="630">
        <v>16.5</v>
      </c>
      <c r="F26" s="630">
        <v>0.48</v>
      </c>
      <c r="G26" s="630"/>
      <c r="H26" s="629"/>
      <c r="I26" s="629"/>
      <c r="J26" s="1005">
        <f t="shared" si="1"/>
        <v>11094.864000000001</v>
      </c>
      <c r="K26" s="1005">
        <f t="shared" si="2"/>
        <v>2017.2479999999998</v>
      </c>
      <c r="L26" s="1005">
        <f t="shared" si="3"/>
        <v>0</v>
      </c>
      <c r="M26" s="1005">
        <f t="shared" si="4"/>
        <v>0</v>
      </c>
      <c r="N26" s="1006">
        <f t="shared" si="5"/>
        <v>0</v>
      </c>
    </row>
    <row r="27" spans="1:14" x14ac:dyDescent="0.25">
      <c r="A27" s="989"/>
      <c r="B27" s="990">
        <f t="shared" si="0"/>
        <v>22</v>
      </c>
      <c r="C27" s="900" t="s">
        <v>620</v>
      </c>
      <c r="D27" s="625">
        <v>630390</v>
      </c>
      <c r="E27" s="626">
        <v>15</v>
      </c>
      <c r="F27" s="626">
        <v>0.44</v>
      </c>
      <c r="G27" s="626"/>
      <c r="H27" s="625"/>
      <c r="I27" s="625"/>
      <c r="J27" s="994">
        <f t="shared" si="1"/>
        <v>15129.36</v>
      </c>
      <c r="K27" s="994">
        <f t="shared" si="2"/>
        <v>2773.7160000000003</v>
      </c>
      <c r="L27" s="994">
        <f t="shared" si="3"/>
        <v>0</v>
      </c>
      <c r="M27" s="994">
        <f t="shared" si="4"/>
        <v>0</v>
      </c>
      <c r="N27" s="995">
        <f t="shared" si="5"/>
        <v>0</v>
      </c>
    </row>
    <row r="28" spans="1:14" x14ac:dyDescent="0.25">
      <c r="A28" s="989"/>
      <c r="B28" s="990">
        <f t="shared" si="0"/>
        <v>23</v>
      </c>
      <c r="C28" s="900"/>
      <c r="D28" s="627"/>
      <c r="E28" s="628"/>
      <c r="F28" s="626"/>
      <c r="G28" s="626"/>
      <c r="H28" s="625"/>
      <c r="I28" s="625"/>
      <c r="J28" s="994" t="str">
        <f t="shared" si="1"/>
        <v/>
      </c>
      <c r="K28" s="994" t="str">
        <f t="shared" si="2"/>
        <v/>
      </c>
      <c r="L28" s="994" t="str">
        <f t="shared" si="3"/>
        <v/>
      </c>
      <c r="M28" s="994" t="str">
        <f t="shared" si="4"/>
        <v/>
      </c>
      <c r="N28" s="995" t="str">
        <f t="shared" si="5"/>
        <v/>
      </c>
    </row>
    <row r="29" spans="1:14" x14ac:dyDescent="0.25">
      <c r="A29" s="993" t="str">
        <f>'Feuille saisie commune'!C17</f>
        <v>Porcs charcutiers</v>
      </c>
      <c r="B29" s="990">
        <f t="shared" si="0"/>
        <v>24</v>
      </c>
      <c r="C29" s="900"/>
      <c r="D29" s="627"/>
      <c r="E29" s="628"/>
      <c r="F29" s="626"/>
      <c r="G29" s="626"/>
      <c r="H29" s="625"/>
      <c r="I29" s="625"/>
      <c r="J29" s="994" t="str">
        <f t="shared" si="1"/>
        <v/>
      </c>
      <c r="K29" s="994" t="str">
        <f t="shared" si="2"/>
        <v/>
      </c>
      <c r="L29" s="994" t="str">
        <f t="shared" si="3"/>
        <v/>
      </c>
      <c r="M29" s="994" t="str">
        <f t="shared" si="4"/>
        <v/>
      </c>
      <c r="N29" s="995" t="str">
        <f t="shared" si="5"/>
        <v/>
      </c>
    </row>
    <row r="30" spans="1:14" x14ac:dyDescent="0.25">
      <c r="A30" s="993" t="str">
        <f>'Feuille saisie commune'!F17</f>
        <v>Fumière ( litière sciure fraiche )</v>
      </c>
      <c r="B30" s="990">
        <f t="shared" si="0"/>
        <v>25</v>
      </c>
      <c r="C30" s="900"/>
      <c r="D30" s="627"/>
      <c r="E30" s="628"/>
      <c r="F30" s="626"/>
      <c r="G30" s="626"/>
      <c r="H30" s="625"/>
      <c r="I30" s="625"/>
      <c r="J30" s="994" t="str">
        <f t="shared" si="1"/>
        <v/>
      </c>
      <c r="K30" s="994" t="str">
        <f t="shared" si="2"/>
        <v/>
      </c>
      <c r="L30" s="994" t="str">
        <f t="shared" si="3"/>
        <v/>
      </c>
      <c r="M30" s="994" t="str">
        <f t="shared" si="4"/>
        <v/>
      </c>
      <c r="N30" s="995" t="str">
        <f t="shared" si="5"/>
        <v/>
      </c>
    </row>
    <row r="31" spans="1:14" x14ac:dyDescent="0.25">
      <c r="A31" s="989"/>
      <c r="B31" s="990">
        <f t="shared" si="0"/>
        <v>26</v>
      </c>
      <c r="C31" s="900"/>
      <c r="D31" s="627"/>
      <c r="E31" s="628"/>
      <c r="F31" s="626"/>
      <c r="G31" s="626"/>
      <c r="H31" s="625"/>
      <c r="I31" s="625"/>
      <c r="J31" s="994" t="str">
        <f t="shared" si="1"/>
        <v/>
      </c>
      <c r="K31" s="994" t="str">
        <f t="shared" si="2"/>
        <v/>
      </c>
      <c r="L31" s="994" t="str">
        <f t="shared" si="3"/>
        <v/>
      </c>
      <c r="M31" s="994" t="str">
        <f t="shared" si="4"/>
        <v/>
      </c>
      <c r="N31" s="995" t="str">
        <f t="shared" si="5"/>
        <v/>
      </c>
    </row>
    <row r="32" spans="1:14" x14ac:dyDescent="0.25">
      <c r="A32" s="989"/>
      <c r="B32" s="990">
        <f t="shared" si="0"/>
        <v>27</v>
      </c>
      <c r="C32" s="900"/>
      <c r="D32" s="627"/>
      <c r="E32" s="628"/>
      <c r="F32" s="626"/>
      <c r="G32" s="626"/>
      <c r="H32" s="625"/>
      <c r="I32" s="625"/>
      <c r="J32" s="994" t="str">
        <f t="shared" si="1"/>
        <v/>
      </c>
      <c r="K32" s="994" t="str">
        <f t="shared" si="2"/>
        <v/>
      </c>
      <c r="L32" s="994" t="str">
        <f t="shared" si="3"/>
        <v/>
      </c>
      <c r="M32" s="994" t="str">
        <f t="shared" si="4"/>
        <v/>
      </c>
      <c r="N32" s="995" t="str">
        <f t="shared" si="5"/>
        <v/>
      </c>
    </row>
    <row r="33" spans="1:48" x14ac:dyDescent="0.25">
      <c r="A33" s="989"/>
      <c r="B33" s="990">
        <f t="shared" si="0"/>
        <v>28</v>
      </c>
      <c r="C33" s="900"/>
      <c r="D33" s="627"/>
      <c r="E33" s="628"/>
      <c r="F33" s="626"/>
      <c r="G33" s="626"/>
      <c r="H33" s="625"/>
      <c r="I33" s="625"/>
      <c r="J33" s="994" t="str">
        <f t="shared" si="1"/>
        <v/>
      </c>
      <c r="K33" s="994" t="str">
        <f t="shared" si="2"/>
        <v/>
      </c>
      <c r="L33" s="994" t="str">
        <f t="shared" si="3"/>
        <v/>
      </c>
      <c r="M33" s="994" t="str">
        <f t="shared" si="4"/>
        <v/>
      </c>
      <c r="N33" s="995" t="str">
        <f t="shared" si="5"/>
        <v/>
      </c>
    </row>
    <row r="34" spans="1:48" ht="15.75" thickBot="1" x14ac:dyDescent="0.3">
      <c r="A34" s="989"/>
      <c r="B34" s="990">
        <f t="shared" si="0"/>
        <v>29</v>
      </c>
      <c r="C34" s="900"/>
      <c r="D34" s="627"/>
      <c r="E34" s="628"/>
      <c r="F34" s="626"/>
      <c r="G34" s="626"/>
      <c r="H34" s="625"/>
      <c r="I34" s="625"/>
      <c r="J34" s="994" t="str">
        <f t="shared" si="1"/>
        <v/>
      </c>
      <c r="K34" s="994" t="str">
        <f t="shared" si="2"/>
        <v/>
      </c>
      <c r="L34" s="994" t="str">
        <f t="shared" si="3"/>
        <v/>
      </c>
      <c r="M34" s="994" t="str">
        <f t="shared" si="4"/>
        <v/>
      </c>
      <c r="N34" s="995" t="str">
        <f t="shared" si="5"/>
        <v/>
      </c>
    </row>
    <row r="35" spans="1:48" ht="15.75" thickBot="1" x14ac:dyDescent="0.3">
      <c r="A35" s="996" t="s">
        <v>980</v>
      </c>
      <c r="B35" s="997">
        <f t="shared" si="0"/>
        <v>30</v>
      </c>
      <c r="C35" s="998"/>
      <c r="D35" s="999">
        <f>SUM(D26:D34)</f>
        <v>1050650</v>
      </c>
      <c r="E35" s="999"/>
      <c r="F35" s="999"/>
      <c r="G35" s="999"/>
      <c r="H35" s="999"/>
      <c r="I35" s="999"/>
      <c r="J35" s="999">
        <f t="shared" ref="J35:N35" si="8">SUM(J26:J34)</f>
        <v>26224.224000000002</v>
      </c>
      <c r="K35" s="999">
        <f t="shared" si="8"/>
        <v>4790.9639999999999</v>
      </c>
      <c r="L35" s="999">
        <f t="shared" si="8"/>
        <v>0</v>
      </c>
      <c r="M35" s="999">
        <f t="shared" si="8"/>
        <v>0</v>
      </c>
      <c r="N35" s="1004">
        <f t="shared" si="8"/>
        <v>0</v>
      </c>
    </row>
    <row r="36" spans="1:48" s="1007" customFormat="1" x14ac:dyDescent="0.25">
      <c r="B36" s="1008">
        <f t="shared" si="0"/>
        <v>31</v>
      </c>
      <c r="C36" s="1009"/>
      <c r="D36" s="1010"/>
      <c r="E36" s="1011"/>
      <c r="F36" s="1011"/>
      <c r="G36" s="1011"/>
      <c r="H36" s="1011"/>
      <c r="I36" s="1011"/>
      <c r="J36" s="1012" t="str">
        <f t="shared" ref="J36:J44" si="9">IF(D36&lt;&gt;0,+E36/100*D36/6.25,"")</f>
        <v/>
      </c>
      <c r="K36" s="1012" t="str">
        <f t="shared" ref="K36:K44" si="10">IF(D36&lt;&gt;0,+F36/100*D36,"")</f>
        <v/>
      </c>
      <c r="L36" s="1012" t="str">
        <f t="shared" ref="L36:L44" si="11">IF(D36&lt;&gt;0,+G36/100*D36,"")</f>
        <v/>
      </c>
      <c r="M36" s="1012" t="str">
        <f t="shared" ref="M36:M44" si="12">IF(D36&lt;&gt;0,+H36/1000*D36,"")</f>
        <v/>
      </c>
      <c r="N36" s="1012" t="str">
        <f t="shared" ref="N36:N44" si="13">IF(D36&lt;&gt;0,+I36/1000*D36,"")</f>
        <v/>
      </c>
      <c r="P36" s="1013"/>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c r="AP36" s="1013"/>
      <c r="AQ36" s="1013"/>
      <c r="AR36" s="1013"/>
      <c r="AS36" s="1013"/>
      <c r="AT36" s="1013"/>
      <c r="AU36" s="1013"/>
      <c r="AV36" s="1013"/>
    </row>
    <row r="37" spans="1:48" s="1013" customFormat="1" x14ac:dyDescent="0.25">
      <c r="B37" s="908">
        <f t="shared" si="0"/>
        <v>32</v>
      </c>
      <c r="C37" s="1014"/>
      <c r="D37" s="1015"/>
      <c r="E37" s="1016"/>
      <c r="F37" s="1016"/>
      <c r="G37" s="1016"/>
      <c r="H37" s="1016"/>
      <c r="I37" s="1016"/>
      <c r="J37" s="1017" t="str">
        <f t="shared" si="9"/>
        <v/>
      </c>
      <c r="K37" s="1017" t="str">
        <f t="shared" si="10"/>
        <v/>
      </c>
      <c r="L37" s="1017" t="str">
        <f t="shared" si="11"/>
        <v/>
      </c>
      <c r="M37" s="1017" t="str">
        <f t="shared" si="12"/>
        <v/>
      </c>
      <c r="N37" s="1017" t="str">
        <f t="shared" si="13"/>
        <v/>
      </c>
    </row>
    <row r="38" spans="1:48" s="1013" customFormat="1" x14ac:dyDescent="0.25">
      <c r="B38" s="908">
        <f t="shared" si="0"/>
        <v>33</v>
      </c>
      <c r="C38" s="1014"/>
      <c r="D38" s="1018"/>
      <c r="E38" s="1019"/>
      <c r="F38" s="1016"/>
      <c r="G38" s="1016"/>
      <c r="H38" s="1016"/>
      <c r="I38" s="1016"/>
      <c r="J38" s="1017" t="str">
        <f t="shared" si="9"/>
        <v/>
      </c>
      <c r="K38" s="1017" t="str">
        <f t="shared" si="10"/>
        <v/>
      </c>
      <c r="L38" s="1017" t="str">
        <f t="shared" si="11"/>
        <v/>
      </c>
      <c r="M38" s="1017" t="str">
        <f t="shared" si="12"/>
        <v/>
      </c>
      <c r="N38" s="1017" t="str">
        <f t="shared" si="13"/>
        <v/>
      </c>
    </row>
    <row r="39" spans="1:48" s="1013" customFormat="1" x14ac:dyDescent="0.25">
      <c r="A39" s="1020" t="str">
        <f>'Feuille saisie commune'!B48</f>
        <v>Porcs charcutiers</v>
      </c>
      <c r="B39" s="908">
        <f t="shared" si="0"/>
        <v>34</v>
      </c>
      <c r="C39" s="1014"/>
      <c r="D39" s="1018"/>
      <c r="E39" s="1019"/>
      <c r="F39" s="1016"/>
      <c r="G39" s="1016"/>
      <c r="H39" s="1016"/>
      <c r="I39" s="1016"/>
      <c r="J39" s="1017" t="str">
        <f t="shared" si="9"/>
        <v/>
      </c>
      <c r="K39" s="1017" t="str">
        <f t="shared" si="10"/>
        <v/>
      </c>
      <c r="L39" s="1017" t="str">
        <f t="shared" si="11"/>
        <v/>
      </c>
      <c r="M39" s="1017" t="str">
        <f t="shared" si="12"/>
        <v/>
      </c>
      <c r="N39" s="1017" t="str">
        <f t="shared" si="13"/>
        <v/>
      </c>
    </row>
    <row r="40" spans="1:48" s="1013" customFormat="1" x14ac:dyDescent="0.25">
      <c r="A40" s="1020">
        <f>'Feuille saisie commune'!F47</f>
        <v>0</v>
      </c>
      <c r="B40" s="908">
        <f t="shared" si="0"/>
        <v>35</v>
      </c>
      <c r="C40" s="1014"/>
      <c r="D40" s="1018"/>
      <c r="E40" s="1019"/>
      <c r="F40" s="1016"/>
      <c r="G40" s="1016"/>
      <c r="H40" s="1016"/>
      <c r="I40" s="1016"/>
      <c r="J40" s="1017" t="str">
        <f t="shared" si="9"/>
        <v/>
      </c>
      <c r="K40" s="1017" t="str">
        <f t="shared" si="10"/>
        <v/>
      </c>
      <c r="L40" s="1017" t="str">
        <f t="shared" si="11"/>
        <v/>
      </c>
      <c r="M40" s="1017" t="str">
        <f t="shared" si="12"/>
        <v/>
      </c>
      <c r="N40" s="1017" t="str">
        <f t="shared" si="13"/>
        <v/>
      </c>
    </row>
    <row r="41" spans="1:48" s="1013" customFormat="1" x14ac:dyDescent="0.25">
      <c r="B41" s="908">
        <f t="shared" si="0"/>
        <v>36</v>
      </c>
      <c r="C41" s="1014"/>
      <c r="D41" s="1018"/>
      <c r="E41" s="1019"/>
      <c r="F41" s="1016"/>
      <c r="G41" s="1016"/>
      <c r="H41" s="1016"/>
      <c r="I41" s="1016"/>
      <c r="J41" s="1017" t="str">
        <f t="shared" si="9"/>
        <v/>
      </c>
      <c r="K41" s="1017" t="str">
        <f t="shared" si="10"/>
        <v/>
      </c>
      <c r="L41" s="1017" t="str">
        <f t="shared" si="11"/>
        <v/>
      </c>
      <c r="M41" s="1017" t="str">
        <f t="shared" si="12"/>
        <v/>
      </c>
      <c r="N41" s="1017" t="str">
        <f t="shared" si="13"/>
        <v/>
      </c>
    </row>
    <row r="42" spans="1:48" s="1013" customFormat="1" x14ac:dyDescent="0.25">
      <c r="B42" s="908">
        <f t="shared" si="0"/>
        <v>37</v>
      </c>
      <c r="C42" s="1014"/>
      <c r="D42" s="1018"/>
      <c r="E42" s="1019"/>
      <c r="F42" s="1016"/>
      <c r="G42" s="1016"/>
      <c r="H42" s="1016"/>
      <c r="I42" s="1016"/>
      <c r="J42" s="1017" t="str">
        <f t="shared" si="9"/>
        <v/>
      </c>
      <c r="K42" s="1017" t="str">
        <f t="shared" si="10"/>
        <v/>
      </c>
      <c r="L42" s="1017" t="str">
        <f t="shared" si="11"/>
        <v/>
      </c>
      <c r="M42" s="1017" t="str">
        <f t="shared" si="12"/>
        <v/>
      </c>
      <c r="N42" s="1017" t="str">
        <f t="shared" si="13"/>
        <v/>
      </c>
    </row>
    <row r="43" spans="1:48" s="1013" customFormat="1" x14ac:dyDescent="0.25">
      <c r="B43" s="908">
        <f t="shared" si="0"/>
        <v>38</v>
      </c>
      <c r="C43" s="1014"/>
      <c r="D43" s="1018"/>
      <c r="E43" s="1019"/>
      <c r="F43" s="1016"/>
      <c r="G43" s="1016"/>
      <c r="H43" s="1016"/>
      <c r="I43" s="1016"/>
      <c r="J43" s="1017" t="str">
        <f t="shared" si="9"/>
        <v/>
      </c>
      <c r="K43" s="1017" t="str">
        <f t="shared" si="10"/>
        <v/>
      </c>
      <c r="L43" s="1017" t="str">
        <f t="shared" si="11"/>
        <v/>
      </c>
      <c r="M43" s="1017" t="str">
        <f t="shared" si="12"/>
        <v/>
      </c>
      <c r="N43" s="1017" t="str">
        <f t="shared" si="13"/>
        <v/>
      </c>
    </row>
    <row r="44" spans="1:48" s="1013" customFormat="1" x14ac:dyDescent="0.25">
      <c r="B44" s="908">
        <f t="shared" si="0"/>
        <v>39</v>
      </c>
      <c r="C44" s="1014"/>
      <c r="D44" s="1018"/>
      <c r="E44" s="1019"/>
      <c r="F44" s="1016"/>
      <c r="G44" s="1016"/>
      <c r="H44" s="1016"/>
      <c r="I44" s="1016"/>
      <c r="J44" s="1017" t="str">
        <f t="shared" si="9"/>
        <v/>
      </c>
      <c r="K44" s="1017" t="str">
        <f t="shared" si="10"/>
        <v/>
      </c>
      <c r="L44" s="1017" t="str">
        <f t="shared" si="11"/>
        <v/>
      </c>
      <c r="M44" s="1017" t="str">
        <f t="shared" si="12"/>
        <v/>
      </c>
      <c r="N44" s="1017" t="str">
        <f t="shared" si="13"/>
        <v/>
      </c>
    </row>
    <row r="45" spans="1:48" s="1013" customFormat="1" x14ac:dyDescent="0.25">
      <c r="A45" s="1013" t="s">
        <v>613</v>
      </c>
      <c r="B45" s="908">
        <f t="shared" si="0"/>
        <v>40</v>
      </c>
      <c r="C45" s="1014"/>
      <c r="D45" s="1021"/>
      <c r="E45" s="1021"/>
      <c r="F45" s="1021"/>
      <c r="G45" s="1021"/>
      <c r="H45" s="1021"/>
      <c r="I45" s="1021"/>
      <c r="J45" s="1021">
        <f t="shared" ref="J45:N45" si="14">SUM(J36:J44)</f>
        <v>0</v>
      </c>
      <c r="K45" s="1021">
        <f t="shared" si="14"/>
        <v>0</v>
      </c>
      <c r="L45" s="1021">
        <f t="shared" si="14"/>
        <v>0</v>
      </c>
      <c r="M45" s="1021">
        <f t="shared" si="14"/>
        <v>0</v>
      </c>
      <c r="N45" s="1021">
        <f t="shared" si="14"/>
        <v>0</v>
      </c>
    </row>
    <row r="46" spans="1:48" s="1013" customFormat="1" x14ac:dyDescent="0.25">
      <c r="B46" s="908">
        <f t="shared" si="0"/>
        <v>41</v>
      </c>
      <c r="C46" s="1014"/>
      <c r="D46" s="1018"/>
      <c r="E46" s="1019"/>
      <c r="F46" s="1016"/>
      <c r="G46" s="1016"/>
      <c r="H46" s="1016"/>
      <c r="I46" s="1016"/>
      <c r="J46" s="1017" t="str">
        <f t="shared" ref="J46:J65" si="15">IF(D46&lt;&gt;0,+E46/100*D46/6.25,"")</f>
        <v/>
      </c>
      <c r="K46" s="1017" t="str">
        <f t="shared" ref="K46:K65" si="16">IF(E46&lt;&gt;0,+F46/100*D46,"")</f>
        <v/>
      </c>
      <c r="L46" s="1017" t="str">
        <f t="shared" ref="L46:L65" si="17">IF(F46&lt;&gt;0,+G46/100*D46,"")</f>
        <v/>
      </c>
      <c r="M46" s="1017" t="str">
        <f t="shared" ref="M46:M65" si="18">IF(G46&lt;&gt;0,+H46/1000*D46,"")</f>
        <v/>
      </c>
      <c r="N46" s="1017" t="str">
        <f t="shared" ref="N46:N65" si="19">IF(H46&lt;&gt;0,+I46/1000*D46,"")</f>
        <v/>
      </c>
    </row>
    <row r="47" spans="1:48" s="1013" customFormat="1" x14ac:dyDescent="0.25">
      <c r="B47" s="908">
        <f t="shared" si="0"/>
        <v>42</v>
      </c>
      <c r="C47" s="1014"/>
      <c r="D47" s="1018"/>
      <c r="E47" s="1019"/>
      <c r="F47" s="1016"/>
      <c r="G47" s="1016"/>
      <c r="H47" s="1016"/>
      <c r="I47" s="1016"/>
      <c r="J47" s="1017" t="str">
        <f t="shared" si="15"/>
        <v/>
      </c>
      <c r="K47" s="1017" t="str">
        <f t="shared" si="16"/>
        <v/>
      </c>
      <c r="L47" s="1017" t="str">
        <f t="shared" si="17"/>
        <v/>
      </c>
      <c r="M47" s="1017" t="str">
        <f t="shared" si="18"/>
        <v/>
      </c>
      <c r="N47" s="1017" t="str">
        <f t="shared" si="19"/>
        <v/>
      </c>
    </row>
    <row r="48" spans="1:48" s="1013" customFormat="1" x14ac:dyDescent="0.25">
      <c r="B48" s="908">
        <f t="shared" si="0"/>
        <v>43</v>
      </c>
      <c r="C48" s="1014"/>
      <c r="D48" s="1018"/>
      <c r="E48" s="1019"/>
      <c r="F48" s="1016"/>
      <c r="G48" s="1016"/>
      <c r="H48" s="1016"/>
      <c r="I48" s="1016"/>
      <c r="J48" s="1017" t="str">
        <f t="shared" si="15"/>
        <v/>
      </c>
      <c r="K48" s="1017" t="str">
        <f t="shared" si="16"/>
        <v/>
      </c>
      <c r="L48" s="1017" t="str">
        <f t="shared" si="17"/>
        <v/>
      </c>
      <c r="M48" s="1017" t="str">
        <f t="shared" si="18"/>
        <v/>
      </c>
      <c r="N48" s="1017" t="str">
        <f t="shared" si="19"/>
        <v/>
      </c>
    </row>
    <row r="49" spans="2:14" s="1013" customFormat="1" x14ac:dyDescent="0.25">
      <c r="B49" s="908">
        <f t="shared" si="0"/>
        <v>44</v>
      </c>
      <c r="C49" s="1014"/>
      <c r="D49" s="1018"/>
      <c r="E49" s="1019"/>
      <c r="F49" s="1016"/>
      <c r="G49" s="1016"/>
      <c r="H49" s="1016"/>
      <c r="I49" s="1016"/>
      <c r="J49" s="1017" t="str">
        <f t="shared" si="15"/>
        <v/>
      </c>
      <c r="K49" s="1017" t="str">
        <f t="shared" si="16"/>
        <v/>
      </c>
      <c r="L49" s="1017" t="str">
        <f t="shared" si="17"/>
        <v/>
      </c>
      <c r="M49" s="1017" t="str">
        <f t="shared" si="18"/>
        <v/>
      </c>
      <c r="N49" s="1017" t="str">
        <f t="shared" si="19"/>
        <v/>
      </c>
    </row>
    <row r="50" spans="2:14" s="1013" customFormat="1" x14ac:dyDescent="0.25">
      <c r="B50" s="908">
        <f t="shared" si="0"/>
        <v>45</v>
      </c>
      <c r="C50" s="1014"/>
      <c r="D50" s="1018"/>
      <c r="E50" s="1019"/>
      <c r="F50" s="1016"/>
      <c r="G50" s="1016"/>
      <c r="H50" s="1016"/>
      <c r="I50" s="1016"/>
      <c r="J50" s="1017" t="str">
        <f t="shared" si="15"/>
        <v/>
      </c>
      <c r="K50" s="1017" t="str">
        <f t="shared" si="16"/>
        <v/>
      </c>
      <c r="L50" s="1017" t="str">
        <f t="shared" si="17"/>
        <v/>
      </c>
      <c r="M50" s="1017" t="str">
        <f t="shared" si="18"/>
        <v/>
      </c>
      <c r="N50" s="1017" t="str">
        <f t="shared" si="19"/>
        <v/>
      </c>
    </row>
    <row r="51" spans="2:14" s="1013" customFormat="1" x14ac:dyDescent="0.25">
      <c r="B51" s="908">
        <f t="shared" si="0"/>
        <v>46</v>
      </c>
      <c r="C51" s="1014"/>
      <c r="D51" s="1018"/>
      <c r="E51" s="1019"/>
      <c r="F51" s="1016"/>
      <c r="G51" s="1016"/>
      <c r="H51" s="1016"/>
      <c r="I51" s="1016"/>
      <c r="J51" s="1017" t="str">
        <f t="shared" si="15"/>
        <v/>
      </c>
      <c r="K51" s="1017" t="str">
        <f t="shared" si="16"/>
        <v/>
      </c>
      <c r="L51" s="1017" t="str">
        <f t="shared" si="17"/>
        <v/>
      </c>
      <c r="M51" s="1017" t="str">
        <f t="shared" si="18"/>
        <v/>
      </c>
      <c r="N51" s="1017" t="str">
        <f t="shared" si="19"/>
        <v/>
      </c>
    </row>
    <row r="52" spans="2:14" s="1013" customFormat="1" x14ac:dyDescent="0.25">
      <c r="B52" s="908">
        <f t="shared" si="0"/>
        <v>47</v>
      </c>
      <c r="C52" s="1014"/>
      <c r="D52" s="1018"/>
      <c r="E52" s="1019"/>
      <c r="F52" s="1016"/>
      <c r="G52" s="1016"/>
      <c r="H52" s="1016"/>
      <c r="I52" s="1016"/>
      <c r="J52" s="1017" t="str">
        <f t="shared" si="15"/>
        <v/>
      </c>
      <c r="K52" s="1017" t="str">
        <f t="shared" si="16"/>
        <v/>
      </c>
      <c r="L52" s="1017" t="str">
        <f t="shared" si="17"/>
        <v/>
      </c>
      <c r="M52" s="1017" t="str">
        <f t="shared" si="18"/>
        <v/>
      </c>
      <c r="N52" s="1017" t="str">
        <f t="shared" si="19"/>
        <v/>
      </c>
    </row>
    <row r="53" spans="2:14" s="1013" customFormat="1" x14ac:dyDescent="0.25">
      <c r="B53" s="908">
        <f t="shared" si="0"/>
        <v>48</v>
      </c>
      <c r="C53" s="1014"/>
      <c r="D53" s="1018"/>
      <c r="E53" s="1019"/>
      <c r="F53" s="1016"/>
      <c r="G53" s="1016"/>
      <c r="H53" s="1016"/>
      <c r="I53" s="1016"/>
      <c r="J53" s="1017" t="str">
        <f t="shared" si="15"/>
        <v/>
      </c>
      <c r="K53" s="1017" t="str">
        <f t="shared" si="16"/>
        <v/>
      </c>
      <c r="L53" s="1017" t="str">
        <f t="shared" si="17"/>
        <v/>
      </c>
      <c r="M53" s="1017" t="str">
        <f t="shared" si="18"/>
        <v/>
      </c>
      <c r="N53" s="1017" t="str">
        <f t="shared" si="19"/>
        <v/>
      </c>
    </row>
    <row r="54" spans="2:14" s="1013" customFormat="1" x14ac:dyDescent="0.25">
      <c r="B54" s="908">
        <f t="shared" si="0"/>
        <v>49</v>
      </c>
      <c r="C54" s="1014"/>
      <c r="D54" s="1018"/>
      <c r="E54" s="1019"/>
      <c r="F54" s="1016"/>
      <c r="G54" s="1016"/>
      <c r="H54" s="1016"/>
      <c r="I54" s="1016"/>
      <c r="J54" s="1017" t="str">
        <f t="shared" si="15"/>
        <v/>
      </c>
      <c r="K54" s="1017" t="str">
        <f t="shared" si="16"/>
        <v/>
      </c>
      <c r="L54" s="1017" t="str">
        <f t="shared" si="17"/>
        <v/>
      </c>
      <c r="M54" s="1017" t="str">
        <f t="shared" si="18"/>
        <v/>
      </c>
      <c r="N54" s="1017" t="str">
        <f t="shared" si="19"/>
        <v/>
      </c>
    </row>
    <row r="55" spans="2:14" s="1013" customFormat="1" x14ac:dyDescent="0.25">
      <c r="B55" s="908">
        <f t="shared" si="0"/>
        <v>50</v>
      </c>
      <c r="C55" s="1014"/>
      <c r="D55" s="1018"/>
      <c r="E55" s="1019"/>
      <c r="F55" s="1016"/>
      <c r="G55" s="1016"/>
      <c r="H55" s="1016"/>
      <c r="I55" s="1016"/>
      <c r="J55" s="1017" t="str">
        <f t="shared" si="15"/>
        <v/>
      </c>
      <c r="K55" s="1017" t="str">
        <f t="shared" si="16"/>
        <v/>
      </c>
      <c r="L55" s="1017" t="str">
        <f t="shared" si="17"/>
        <v/>
      </c>
      <c r="M55" s="1017" t="str">
        <f t="shared" si="18"/>
        <v/>
      </c>
      <c r="N55" s="1017" t="str">
        <f t="shared" si="19"/>
        <v/>
      </c>
    </row>
    <row r="56" spans="2:14" s="1013" customFormat="1" x14ac:dyDescent="0.25">
      <c r="B56" s="908">
        <f t="shared" si="0"/>
        <v>51</v>
      </c>
      <c r="C56" s="1014"/>
      <c r="D56" s="1018"/>
      <c r="E56" s="1019"/>
      <c r="F56" s="1016"/>
      <c r="G56" s="1016"/>
      <c r="H56" s="1016"/>
      <c r="I56" s="1016"/>
      <c r="J56" s="1017" t="str">
        <f t="shared" si="15"/>
        <v/>
      </c>
      <c r="K56" s="1017" t="str">
        <f t="shared" si="16"/>
        <v/>
      </c>
      <c r="L56" s="1017" t="str">
        <f t="shared" si="17"/>
        <v/>
      </c>
      <c r="M56" s="1017" t="str">
        <f t="shared" si="18"/>
        <v/>
      </c>
      <c r="N56" s="1017" t="str">
        <f t="shared" si="19"/>
        <v/>
      </c>
    </row>
    <row r="57" spans="2:14" s="1013" customFormat="1" x14ac:dyDescent="0.25">
      <c r="B57" s="908">
        <f t="shared" si="0"/>
        <v>52</v>
      </c>
      <c r="C57" s="1014"/>
      <c r="D57" s="1018"/>
      <c r="E57" s="1019"/>
      <c r="F57" s="1016"/>
      <c r="G57" s="1016"/>
      <c r="H57" s="1016"/>
      <c r="I57" s="1016"/>
      <c r="J57" s="1017" t="str">
        <f t="shared" si="15"/>
        <v/>
      </c>
      <c r="K57" s="1017" t="str">
        <f t="shared" si="16"/>
        <v/>
      </c>
      <c r="L57" s="1017" t="str">
        <f t="shared" si="17"/>
        <v/>
      </c>
      <c r="M57" s="1017" t="str">
        <f t="shared" si="18"/>
        <v/>
      </c>
      <c r="N57" s="1017" t="str">
        <f t="shared" si="19"/>
        <v/>
      </c>
    </row>
    <row r="58" spans="2:14" s="1013" customFormat="1" x14ac:dyDescent="0.25">
      <c r="B58" s="908">
        <f t="shared" si="0"/>
        <v>53</v>
      </c>
      <c r="C58" s="1014"/>
      <c r="D58" s="1018"/>
      <c r="E58" s="1019"/>
      <c r="F58" s="1016"/>
      <c r="G58" s="1016"/>
      <c r="H58" s="1016"/>
      <c r="I58" s="1016"/>
      <c r="J58" s="1017" t="str">
        <f t="shared" si="15"/>
        <v/>
      </c>
      <c r="K58" s="1017" t="str">
        <f t="shared" si="16"/>
        <v/>
      </c>
      <c r="L58" s="1017" t="str">
        <f t="shared" si="17"/>
        <v/>
      </c>
      <c r="M58" s="1017" t="str">
        <f t="shared" si="18"/>
        <v/>
      </c>
      <c r="N58" s="1017" t="str">
        <f t="shared" si="19"/>
        <v/>
      </c>
    </row>
    <row r="59" spans="2:14" s="1013" customFormat="1" x14ac:dyDescent="0.25">
      <c r="B59" s="908">
        <f t="shared" si="0"/>
        <v>54</v>
      </c>
      <c r="C59" s="1014"/>
      <c r="D59" s="1018"/>
      <c r="E59" s="1019"/>
      <c r="F59" s="1016"/>
      <c r="G59" s="1016"/>
      <c r="H59" s="1016"/>
      <c r="I59" s="1016"/>
      <c r="J59" s="1017" t="str">
        <f t="shared" si="15"/>
        <v/>
      </c>
      <c r="K59" s="1017" t="str">
        <f t="shared" si="16"/>
        <v/>
      </c>
      <c r="L59" s="1017" t="str">
        <f t="shared" si="17"/>
        <v/>
      </c>
      <c r="M59" s="1017" t="str">
        <f t="shared" si="18"/>
        <v/>
      </c>
      <c r="N59" s="1017" t="str">
        <f t="shared" si="19"/>
        <v/>
      </c>
    </row>
    <row r="60" spans="2:14" s="1013" customFormat="1" x14ac:dyDescent="0.25">
      <c r="B60" s="908">
        <f t="shared" si="0"/>
        <v>55</v>
      </c>
      <c r="C60" s="1014"/>
      <c r="D60" s="1018"/>
      <c r="E60" s="1019"/>
      <c r="F60" s="1016"/>
      <c r="G60" s="1016"/>
      <c r="H60" s="1016"/>
      <c r="I60" s="1016"/>
      <c r="J60" s="1017" t="str">
        <f t="shared" si="15"/>
        <v/>
      </c>
      <c r="K60" s="1017" t="str">
        <f t="shared" si="16"/>
        <v/>
      </c>
      <c r="L60" s="1017" t="str">
        <f t="shared" si="17"/>
        <v/>
      </c>
      <c r="M60" s="1017" t="str">
        <f t="shared" si="18"/>
        <v/>
      </c>
      <c r="N60" s="1017" t="str">
        <f t="shared" si="19"/>
        <v/>
      </c>
    </row>
    <row r="61" spans="2:14" s="1013" customFormat="1" x14ac:dyDescent="0.25">
      <c r="B61" s="908">
        <f t="shared" si="0"/>
        <v>56</v>
      </c>
      <c r="C61" s="1014"/>
      <c r="D61" s="1018"/>
      <c r="E61" s="1019"/>
      <c r="F61" s="1016"/>
      <c r="G61" s="1016"/>
      <c r="H61" s="1016"/>
      <c r="I61" s="1016"/>
      <c r="J61" s="1017" t="str">
        <f t="shared" si="15"/>
        <v/>
      </c>
      <c r="K61" s="1017" t="str">
        <f t="shared" si="16"/>
        <v/>
      </c>
      <c r="L61" s="1017" t="str">
        <f t="shared" si="17"/>
        <v/>
      </c>
      <c r="M61" s="1017" t="str">
        <f t="shared" si="18"/>
        <v/>
      </c>
      <c r="N61" s="1017" t="str">
        <f t="shared" si="19"/>
        <v/>
      </c>
    </row>
    <row r="62" spans="2:14" s="1013" customFormat="1" x14ac:dyDescent="0.25">
      <c r="B62" s="908">
        <f t="shared" si="0"/>
        <v>57</v>
      </c>
      <c r="C62" s="1014"/>
      <c r="D62" s="1018"/>
      <c r="E62" s="1019"/>
      <c r="F62" s="1016"/>
      <c r="G62" s="1016"/>
      <c r="H62" s="1016"/>
      <c r="I62" s="1016"/>
      <c r="J62" s="1017" t="str">
        <f t="shared" si="15"/>
        <v/>
      </c>
      <c r="K62" s="1017" t="str">
        <f t="shared" si="16"/>
        <v/>
      </c>
      <c r="L62" s="1017" t="str">
        <f t="shared" si="17"/>
        <v/>
      </c>
      <c r="M62" s="1017" t="str">
        <f t="shared" si="18"/>
        <v/>
      </c>
      <c r="N62" s="1017" t="str">
        <f t="shared" si="19"/>
        <v/>
      </c>
    </row>
    <row r="63" spans="2:14" s="1013" customFormat="1" x14ac:dyDescent="0.25">
      <c r="B63" s="908">
        <f t="shared" si="0"/>
        <v>58</v>
      </c>
      <c r="C63" s="1014"/>
      <c r="D63" s="1018"/>
      <c r="E63" s="1019"/>
      <c r="F63" s="1016"/>
      <c r="G63" s="1016"/>
      <c r="H63" s="1016"/>
      <c r="I63" s="1016"/>
      <c r="J63" s="1017" t="str">
        <f t="shared" si="15"/>
        <v/>
      </c>
      <c r="K63" s="1017" t="str">
        <f t="shared" si="16"/>
        <v/>
      </c>
      <c r="L63" s="1017" t="str">
        <f t="shared" si="17"/>
        <v/>
      </c>
      <c r="M63" s="1017" t="str">
        <f t="shared" si="18"/>
        <v/>
      </c>
      <c r="N63" s="1017" t="str">
        <f t="shared" si="19"/>
        <v/>
      </c>
    </row>
    <row r="64" spans="2:14" s="1013" customFormat="1" x14ac:dyDescent="0.25">
      <c r="B64" s="908">
        <f t="shared" si="0"/>
        <v>59</v>
      </c>
      <c r="C64" s="1014"/>
      <c r="D64" s="1018"/>
      <c r="E64" s="1019"/>
      <c r="F64" s="1016"/>
      <c r="G64" s="1016"/>
      <c r="H64" s="1016"/>
      <c r="I64" s="1016"/>
      <c r="J64" s="1017" t="str">
        <f t="shared" si="15"/>
        <v/>
      </c>
      <c r="K64" s="1017" t="str">
        <f t="shared" si="16"/>
        <v/>
      </c>
      <c r="L64" s="1017" t="str">
        <f t="shared" si="17"/>
        <v/>
      </c>
      <c r="M64" s="1017" t="str">
        <f t="shared" si="18"/>
        <v/>
      </c>
      <c r="N64" s="1017" t="str">
        <f t="shared" si="19"/>
        <v/>
      </c>
    </row>
    <row r="65" spans="2:48" s="1007" customFormat="1" x14ac:dyDescent="0.25">
      <c r="B65" s="1008">
        <f t="shared" si="0"/>
        <v>60</v>
      </c>
      <c r="C65" s="1009"/>
      <c r="D65" s="1022"/>
      <c r="E65" s="1023"/>
      <c r="F65" s="1011"/>
      <c r="G65" s="1011"/>
      <c r="H65" s="1011"/>
      <c r="I65" s="1011"/>
      <c r="J65" s="1012" t="str">
        <f t="shared" si="15"/>
        <v/>
      </c>
      <c r="K65" s="1012" t="str">
        <f t="shared" si="16"/>
        <v/>
      </c>
      <c r="L65" s="1012" t="str">
        <f t="shared" si="17"/>
        <v/>
      </c>
      <c r="M65" s="1012" t="str">
        <f t="shared" si="18"/>
        <v/>
      </c>
      <c r="N65" s="1012" t="str">
        <f t="shared" si="19"/>
        <v/>
      </c>
      <c r="P65" s="1013"/>
      <c r="Q65" s="1013"/>
      <c r="R65" s="1013"/>
      <c r="S65" s="1013"/>
      <c r="T65" s="1013"/>
      <c r="U65" s="1013"/>
      <c r="V65" s="1013"/>
      <c r="W65" s="1013"/>
      <c r="X65" s="1013"/>
      <c r="Y65" s="1013"/>
      <c r="Z65" s="1013"/>
      <c r="AA65" s="1013"/>
      <c r="AB65" s="1013"/>
      <c r="AC65" s="1013"/>
      <c r="AD65" s="1013"/>
      <c r="AE65" s="1013"/>
      <c r="AF65" s="1013"/>
      <c r="AG65" s="1013"/>
      <c r="AH65" s="1013"/>
      <c r="AI65" s="1013"/>
      <c r="AJ65" s="1013"/>
      <c r="AK65" s="1013"/>
      <c r="AL65" s="1013"/>
      <c r="AM65" s="1013"/>
      <c r="AN65" s="1013"/>
      <c r="AO65" s="1013"/>
      <c r="AP65" s="1013"/>
      <c r="AQ65" s="1013"/>
      <c r="AR65" s="1013"/>
      <c r="AS65" s="1013"/>
      <c r="AT65" s="1013"/>
      <c r="AU65" s="1013"/>
      <c r="AV65" s="1013"/>
    </row>
    <row r="66" spans="2:48" s="1007" customFormat="1" x14ac:dyDescent="0.25">
      <c r="P66" s="1013"/>
      <c r="Q66" s="1013"/>
      <c r="R66" s="1013"/>
      <c r="S66" s="1013"/>
      <c r="T66" s="1013"/>
      <c r="U66" s="1013"/>
      <c r="V66" s="1013"/>
      <c r="W66" s="1013"/>
      <c r="X66" s="1013"/>
      <c r="Y66" s="1013"/>
      <c r="Z66" s="1013"/>
      <c r="AA66" s="1013"/>
      <c r="AB66" s="1013"/>
      <c r="AC66" s="1013"/>
      <c r="AD66" s="1013"/>
      <c r="AE66" s="1013"/>
      <c r="AF66" s="1013"/>
      <c r="AG66" s="1013"/>
      <c r="AH66" s="1013"/>
      <c r="AI66" s="1013"/>
      <c r="AJ66" s="1013"/>
      <c r="AK66" s="1013"/>
      <c r="AL66" s="1013"/>
      <c r="AM66" s="1013"/>
      <c r="AN66" s="1013"/>
      <c r="AO66" s="1013"/>
      <c r="AP66" s="1013"/>
      <c r="AQ66" s="1013"/>
      <c r="AR66" s="1013"/>
      <c r="AS66" s="1013"/>
      <c r="AT66" s="1013"/>
      <c r="AU66" s="1013"/>
      <c r="AV66" s="1013"/>
    </row>
  </sheetData>
  <sheetProtection password="A53B" sheet="1" objects="1" scenarios="1"/>
  <mergeCells count="1">
    <mergeCell ref="E2:F2"/>
  </mergeCells>
  <dataValidations count="1">
    <dataValidation type="list" allowBlank="1" showInputMessage="1" showErrorMessage="1" sqref="E2">
      <formula1>BRS</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FF6699"/>
  </sheetPr>
  <dimension ref="A2:AA381"/>
  <sheetViews>
    <sheetView topLeftCell="A308" zoomScale="90" zoomScaleNormal="90" workbookViewId="0">
      <selection activeCell="J346" sqref="J346"/>
    </sheetView>
  </sheetViews>
  <sheetFormatPr baseColWidth="10" defaultRowHeight="15" x14ac:dyDescent="0.25"/>
  <cols>
    <col min="1" max="1" width="40.28515625" customWidth="1"/>
    <col min="2" max="2" width="34.85546875" customWidth="1"/>
    <col min="3" max="3" width="10.140625" bestFit="1" customWidth="1"/>
    <col min="6" max="6" width="19.85546875" customWidth="1"/>
  </cols>
  <sheetData>
    <row r="2" spans="1:7" s="23" customFormat="1" x14ac:dyDescent="0.25">
      <c r="A2" s="23" t="s">
        <v>611</v>
      </c>
    </row>
    <row r="3" spans="1:7" x14ac:dyDescent="0.25">
      <c r="C3" s="97" t="s">
        <v>118</v>
      </c>
      <c r="D3" s="97" t="s">
        <v>58</v>
      </c>
      <c r="E3" s="97" t="s">
        <v>59</v>
      </c>
      <c r="F3" s="97" t="s">
        <v>60</v>
      </c>
    </row>
    <row r="4" spans="1:7" x14ac:dyDescent="0.25">
      <c r="B4" s="97" t="s">
        <v>604</v>
      </c>
      <c r="C4" s="97">
        <v>88</v>
      </c>
      <c r="D4" s="97">
        <v>0.5</v>
      </c>
      <c r="E4" s="97">
        <v>0.08</v>
      </c>
      <c r="F4" s="97">
        <v>1.1000000000000001</v>
      </c>
    </row>
    <row r="5" spans="1:7" x14ac:dyDescent="0.25">
      <c r="B5" s="97" t="s">
        <v>612</v>
      </c>
      <c r="C5" s="97">
        <v>85</v>
      </c>
      <c r="D5" s="97">
        <v>0.8</v>
      </c>
      <c r="E5" s="97">
        <v>1E-3</v>
      </c>
      <c r="F5" s="97">
        <v>1.6E-2</v>
      </c>
    </row>
    <row r="6" spans="1:7" s="23" customFormat="1" x14ac:dyDescent="0.25">
      <c r="A6" s="23" t="s">
        <v>452</v>
      </c>
    </row>
    <row r="8" spans="1:7" x14ac:dyDescent="0.25">
      <c r="A8" t="s">
        <v>635</v>
      </c>
    </row>
    <row r="9" spans="1:7" x14ac:dyDescent="0.25">
      <c r="A9" t="s">
        <v>471</v>
      </c>
    </row>
    <row r="10" spans="1:7" x14ac:dyDescent="0.25">
      <c r="A10" t="s">
        <v>634</v>
      </c>
    </row>
    <row r="12" spans="1:7" s="23" customFormat="1" x14ac:dyDescent="0.25">
      <c r="A12" s="23" t="s">
        <v>631</v>
      </c>
    </row>
    <row r="14" spans="1:7" x14ac:dyDescent="0.25">
      <c r="B14" s="183" t="s">
        <v>633</v>
      </c>
      <c r="C14" s="201" t="s">
        <v>540</v>
      </c>
      <c r="D14" s="195" t="s">
        <v>487</v>
      </c>
      <c r="E14" s="196" t="s">
        <v>632</v>
      </c>
      <c r="F14" s="98"/>
      <c r="G14" s="416" t="s">
        <v>916</v>
      </c>
    </row>
    <row r="15" spans="1:7" x14ac:dyDescent="0.25">
      <c r="A15" t="s">
        <v>450</v>
      </c>
      <c r="B15" s="108">
        <v>10</v>
      </c>
      <c r="C15" s="197">
        <v>11</v>
      </c>
      <c r="D15" s="203">
        <v>12</v>
      </c>
      <c r="E15" s="193">
        <v>13</v>
      </c>
      <c r="F15" s="103"/>
      <c r="G15" s="541" t="s">
        <v>1006</v>
      </c>
    </row>
    <row r="16" spans="1:7" x14ac:dyDescent="0.25">
      <c r="A16" t="s">
        <v>451</v>
      </c>
      <c r="B16" s="109">
        <v>20</v>
      </c>
      <c r="C16" s="198">
        <v>21</v>
      </c>
      <c r="D16" s="103">
        <v>22</v>
      </c>
      <c r="E16" s="199">
        <v>23</v>
      </c>
      <c r="F16" s="103"/>
      <c r="G16" s="427">
        <f>IF('Feuille saisie commune'!C15="Truies et verrats",IF('Feuille saisie commune'!F15="Fosse stockage 1",11,0))+IF('Feuille saisie commune'!C15="Porcs charcutiers",IF('Feuille saisie commune'!F15="Fosse stockage 1",12,0))+IF('Feuille saisie commune'!C15="Post-sevrage",IF('Feuille saisie commune'!F15="Fosse stockage 1",13,0))+IF('Feuille saisie commune'!C15="Truies et verrats",IF('Feuille saisie commune'!F15="Fosse stockage 2",21,0))+IF('Feuille saisie commune'!C15="Porcs charcutiers",IF('Feuille saisie commune'!F15="Fosse stockage 2",22,0))+IF('Feuille saisie commune'!C15="Post-sevrage",IF('Feuille saisie commune'!F15="Fosse stockage 2",23,0))+IF('Feuille saisie commune'!C15="Truies et verrats",IF('Feuille saisie commune'!F15="Fumière ( fumier paille frais )",31,0))+IF('Feuille saisie commune'!C15="Porcs charcutiers",IF('Feuille saisie commune'!F15="Fumière ( fumier paille frais )",32,0))+IF('Feuille saisie commune'!C15="Post-sevrage",IF('Feuille saisie commune'!F15="Fumière ( fumier paille frais )",33,0))+IF('Feuille saisie commune'!C15="Truies et verrats",IF('Feuille saisie commune'!F15="Fumière (fumier paille compostée)",41,0))+IF('Feuille saisie commune'!C15="Porcs charcutiers",IF('Feuille saisie commune'!F15="Fumière (fumier paille compostée)",42,0))+IF('Feuille saisie commune'!C15="Post-sevrage",IF('Feuille saisie commune'!F15="Fumière (fumier paille compostée)",43,0))+IF('Feuille saisie commune'!C15="Truies et verrats",IF('Feuille saisie commune'!F15="Fumière ( litière sciure fraiche )",51,0))+IF('Feuille saisie commune'!C15="Porcs charcutiers",IF('Feuille saisie commune'!F15="Fumière ( litière sciure fraiche )",52,0))+IF('Feuille saisie commune'!C15="Post-sevrage",IF('Feuille saisie commune'!F15="Fumière ( litière sciure fraiche )",53,0))+IF('Feuille saisie commune'!C15="Truies et verrats",IF('Feuille saisie commune'!F15="Fumière (litière sciure compostée)",61,0))+IF('Feuille saisie commune'!C15="Porcs charcutiers",IF('Feuille saisie commune'!F15="Fumière (litière sciure compostée)",62,0))+IF('Feuille saisie commune'!C15="Post-sevrage",IF('Feuille saisie commune'!F15="Fumière (litière sciure compostée)",63,0))</f>
        <v>21</v>
      </c>
    </row>
    <row r="17" spans="1:10" x14ac:dyDescent="0.25">
      <c r="A17" s="291" t="s">
        <v>982</v>
      </c>
      <c r="B17" s="109">
        <v>30</v>
      </c>
      <c r="C17" s="198">
        <v>31</v>
      </c>
      <c r="D17" s="103">
        <v>32</v>
      </c>
      <c r="E17" s="199">
        <v>33</v>
      </c>
      <c r="F17" s="103"/>
      <c r="G17" s="427">
        <f>IF('Feuille saisie commune'!C16="Truies et verrats",IF('Feuille saisie commune'!F16="Fosse stockage 1",11,0))+IF('Feuille saisie commune'!C16="Porcs charcutiers",IF('Feuille saisie commune'!F16="Fosse stockage 1",12,0))+IF('Feuille saisie commune'!C16="Post-sevrage",IF('Feuille saisie commune'!F16="Fosse stockage 1",13,0))+IF('Feuille saisie commune'!C16="Truies et verrats",IF('Feuille saisie commune'!F16="Fosse stockage 2",21,0))+IF('Feuille saisie commune'!C16="Porcs charcutiers",IF('Feuille saisie commune'!F16="Fosse stockage 2",22,0))+IF('Feuille saisie commune'!C16="Post-sevrage",IF('Feuille saisie commune'!F16="Fosse stockage 2",23,0))+IF('Feuille saisie commune'!C16="Truies et verrats",IF('Feuille saisie commune'!F16="Fumière ( fumier paille frais )",31,0))+IF('Feuille saisie commune'!C16="Porcs charcutiers",IF('Feuille saisie commune'!F16="Fumière ( fumier paille frais )",32,0))+IF('Feuille saisie commune'!C16="Post-sevrage",IF('Feuille saisie commune'!F16="Fumière ( fumier paille frais )",33,0))+IF('Feuille saisie commune'!C16="Truies et verrats",IF('Feuille saisie commune'!F16="Fumière (fumier paille compostée)",41,0))+IF('Feuille saisie commune'!C16="Porcs charcutiers",IF('Feuille saisie commune'!F16="Fumière (fumier paille compostée)",42,0))+IF('Feuille saisie commune'!C16="Post-sevrage",IF('Feuille saisie commune'!F16="Fumière (fumier paille compostée)",43,0))+IF('Feuille saisie commune'!C16="Truies et verrats",IF('Feuille saisie commune'!F16="Fumière ( litière sciure fraiche )",51,0))+IF('Feuille saisie commune'!C16="Porcs charcutiers",IF('Feuille saisie commune'!F16="Fumière ( litière sciure fraiche )",52,0))+IF('Feuille saisie commune'!C16="Post-sevrage",IF('Feuille saisie commune'!F16="Fumière ( litière sciure fraiche )",53,0))+IF('Feuille saisie commune'!C16="Truies et verrats",IF('Feuille saisie commune'!F16="Fumière (litière sciure compostée)",61,0))+IF('Feuille saisie commune'!C16="Porcs charcutiers",IF('Feuille saisie commune'!F16="Fumière (litière sciure compostée)",62,0))+IF('Feuille saisie commune'!C16="Post-sevrage",IF('Feuille saisie commune'!F16="Fumière (litière sciure compostée)",63,0))</f>
        <v>43</v>
      </c>
    </row>
    <row r="18" spans="1:10" x14ac:dyDescent="0.25">
      <c r="A18" s="291" t="s">
        <v>1029</v>
      </c>
      <c r="B18" s="109">
        <v>40</v>
      </c>
      <c r="C18" s="198">
        <v>41</v>
      </c>
      <c r="D18" s="103">
        <v>42</v>
      </c>
      <c r="E18" s="199">
        <v>43</v>
      </c>
      <c r="F18" s="103"/>
      <c r="G18" s="427">
        <f>IF('Feuille saisie commune'!C17="Truies et verrats",IF('Feuille saisie commune'!F17="Fosse stockage 1",11,0))+IF('Feuille saisie commune'!C17="Porcs charcutiers",IF('Feuille saisie commune'!F17="Fosse stockage 1",12,0))+IF('Feuille saisie commune'!C17="Post-sevrage",IF('Feuille saisie commune'!F17="Fosse stockage 1",13,0))+IF('Feuille saisie commune'!C17="Truies et verrats",IF('Feuille saisie commune'!F17="Fosse stockage 2",21,0))+IF('Feuille saisie commune'!C17="Porcs charcutiers",IF('Feuille saisie commune'!F17="Fosse stockage 2",22,0))+IF('Feuille saisie commune'!C17="Post-sevrage",IF('Feuille saisie commune'!F17="Fosse stockage 2",23,0))+IF('Feuille saisie commune'!C17="Truies et verrats",IF('Feuille saisie commune'!F17="Fumière ( fumier paille frais )",31,0))+IF('Feuille saisie commune'!C17="Porcs charcutiers",IF('Feuille saisie commune'!F17="Fumière ( fumier paille frais )",32,0))+IF('Feuille saisie commune'!C17="Post-sevrage",IF('Feuille saisie commune'!F17="Fumière ( fumier paille frais )",33,0))+IF('Feuille saisie commune'!C17="Truies et verrats",IF('Feuille saisie commune'!F17="Fumière (fumier paille compostée)",41,0))+IF('Feuille saisie commune'!C17="Porcs charcutiers",IF('Feuille saisie commune'!F17="Fumière (fumier paille compostée)",42,0))+IF('Feuille saisie commune'!C17="Post-sevrage",IF('Feuille saisie commune'!F17="Fumière (fumier paille compostée)",43,0))+IF('Feuille saisie commune'!C17="Truies et verrats",IF('Feuille saisie commune'!F17="Fumière ( litière sciure fraiche )",51,0))+IF('Feuille saisie commune'!C17="Porcs charcutiers",IF('Feuille saisie commune'!F17="Fumière ( litière sciure fraiche )",52,0))+IF('Feuille saisie commune'!C17="Post-sevrage",IF('Feuille saisie commune'!F17="Fumière ( litière sciure fraiche )",53,0))+IF('Feuille saisie commune'!C17="Truies et verrats",IF('Feuille saisie commune'!F17="Fumière (litière sciure compostée)",61,0))+IF('Feuille saisie commune'!C17="Porcs charcutiers",IF('Feuille saisie commune'!F17="Fumière (litière sciure compostée)",62,0))+IF('Feuille saisie commune'!C17="Post-sevrage",IF('Feuille saisie commune'!F17="Fumière (litière sciure compostée)",63,0))</f>
        <v>52</v>
      </c>
    </row>
    <row r="19" spans="1:10" x14ac:dyDescent="0.25">
      <c r="A19" s="291" t="s">
        <v>983</v>
      </c>
      <c r="B19" s="109">
        <v>50</v>
      </c>
      <c r="C19" s="198">
        <v>51</v>
      </c>
      <c r="D19" s="103">
        <v>52</v>
      </c>
      <c r="E19" s="199">
        <v>53</v>
      </c>
      <c r="F19" s="103"/>
      <c r="G19" s="466"/>
    </row>
    <row r="20" spans="1:10" x14ac:dyDescent="0.25">
      <c r="A20" s="291" t="s">
        <v>521</v>
      </c>
      <c r="B20" s="202">
        <v>60</v>
      </c>
      <c r="C20" s="200">
        <v>61</v>
      </c>
      <c r="D20" s="104">
        <v>62</v>
      </c>
      <c r="E20" s="194">
        <v>63</v>
      </c>
      <c r="F20" s="103"/>
    </row>
    <row r="22" spans="1:10" s="23" customFormat="1" x14ac:dyDescent="0.25">
      <c r="A22" s="23" t="s">
        <v>646</v>
      </c>
    </row>
    <row r="24" spans="1:10" x14ac:dyDescent="0.25">
      <c r="A24" t="s">
        <v>643</v>
      </c>
    </row>
    <row r="25" spans="1:10" x14ac:dyDescent="0.25">
      <c r="A25" t="s">
        <v>644</v>
      </c>
    </row>
    <row r="26" spans="1:10" x14ac:dyDescent="0.25">
      <c r="A26" t="s">
        <v>645</v>
      </c>
      <c r="J26" s="291"/>
    </row>
    <row r="28" spans="1:10" x14ac:dyDescent="0.25">
      <c r="B28" s="97"/>
      <c r="C28" s="97"/>
      <c r="D28" s="97"/>
    </row>
    <row r="29" spans="1:10" s="23" customFormat="1" x14ac:dyDescent="0.25">
      <c r="A29" s="23" t="s">
        <v>605</v>
      </c>
    </row>
    <row r="30" spans="1:10" x14ac:dyDescent="0.25">
      <c r="B30" s="97"/>
      <c r="C30" s="97"/>
      <c r="D30" s="97"/>
    </row>
    <row r="31" spans="1:10" x14ac:dyDescent="0.25">
      <c r="A31" s="186" t="s">
        <v>614</v>
      </c>
      <c r="B31" s="99"/>
      <c r="C31" s="111"/>
      <c r="D31" s="111"/>
      <c r="E31" s="111"/>
      <c r="F31" s="111"/>
      <c r="G31" s="111"/>
      <c r="H31" s="111"/>
      <c r="I31" s="112"/>
      <c r="J31" s="12"/>
    </row>
    <row r="32" spans="1:10" x14ac:dyDescent="0.25">
      <c r="B32" s="99"/>
      <c r="C32" s="111"/>
      <c r="D32" s="111"/>
      <c r="E32" s="112"/>
      <c r="F32" s="112"/>
      <c r="G32" s="1143" t="s">
        <v>564</v>
      </c>
      <c r="H32" s="1144"/>
      <c r="I32" s="12"/>
    </row>
    <row r="33" spans="2:27" x14ac:dyDescent="0.25">
      <c r="B33" s="99"/>
      <c r="C33" s="111"/>
      <c r="D33" s="111"/>
      <c r="E33" s="116"/>
      <c r="F33" s="117"/>
      <c r="G33" s="1145" t="s">
        <v>565</v>
      </c>
      <c r="H33" s="1146"/>
      <c r="I33" s="12"/>
      <c r="AA33">
        <v>4</v>
      </c>
    </row>
    <row r="34" spans="2:27" x14ac:dyDescent="0.25">
      <c r="B34" s="99"/>
      <c r="C34" s="111"/>
      <c r="D34" s="111"/>
      <c r="E34" s="118" t="s">
        <v>930</v>
      </c>
      <c r="F34" s="118"/>
      <c r="G34" s="1147" t="e">
        <f>I326</f>
        <v>#DIV/0!</v>
      </c>
      <c r="H34" s="1148"/>
      <c r="I34" s="12"/>
    </row>
    <row r="35" spans="2:27" x14ac:dyDescent="0.25">
      <c r="B35" s="99"/>
      <c r="C35" s="111"/>
      <c r="D35" s="111"/>
      <c r="E35" s="114"/>
      <c r="F35" s="114"/>
      <c r="G35" s="184"/>
      <c r="H35" s="184"/>
      <c r="I35" s="185"/>
      <c r="J35" s="12"/>
    </row>
    <row r="36" spans="2:27" x14ac:dyDescent="0.25">
      <c r="B36" s="100"/>
      <c r="C36" s="111"/>
      <c r="D36" s="111"/>
      <c r="E36" s="111"/>
      <c r="F36" s="111"/>
      <c r="G36" s="111"/>
      <c r="H36" s="111"/>
      <c r="I36" s="112"/>
    </row>
    <row r="37" spans="2:27" x14ac:dyDescent="0.25">
      <c r="B37" s="101" t="s">
        <v>566</v>
      </c>
      <c r="C37" s="119" t="s">
        <v>567</v>
      </c>
      <c r="D37" s="1149" t="s">
        <v>568</v>
      </c>
      <c r="E37" s="1150"/>
      <c r="F37" s="1149" t="s">
        <v>569</v>
      </c>
      <c r="G37" s="1150"/>
      <c r="H37" s="119" t="s">
        <v>570</v>
      </c>
      <c r="I37" s="120" t="s">
        <v>571</v>
      </c>
    </row>
    <row r="38" spans="2:27" x14ac:dyDescent="0.25">
      <c r="B38" s="121"/>
      <c r="C38" s="122" t="s">
        <v>17</v>
      </c>
      <c r="D38" s="123" t="s">
        <v>560</v>
      </c>
      <c r="E38" s="124" t="s">
        <v>572</v>
      </c>
      <c r="F38" s="123" t="s">
        <v>561</v>
      </c>
      <c r="G38" s="124" t="s">
        <v>573</v>
      </c>
      <c r="H38" s="122" t="s">
        <v>17</v>
      </c>
      <c r="I38" s="124" t="s">
        <v>17</v>
      </c>
    </row>
    <row r="39" spans="2:27" x14ac:dyDescent="0.25">
      <c r="B39" s="125" t="s">
        <v>574</v>
      </c>
      <c r="C39" s="126">
        <f>G51</f>
        <v>0</v>
      </c>
      <c r="D39" s="127">
        <f>G52</f>
        <v>0</v>
      </c>
      <c r="E39" s="128" t="s">
        <v>50</v>
      </c>
      <c r="F39" s="126">
        <f>+E53</f>
        <v>0</v>
      </c>
      <c r="G39" s="129" t="s">
        <v>50</v>
      </c>
      <c r="H39" s="130" t="str">
        <f>IF(+G54&gt;0,G54,"-")</f>
        <v>-</v>
      </c>
      <c r="I39" s="131" t="str">
        <f>IF(+G55&gt;0,G55,"-")</f>
        <v>-</v>
      </c>
    </row>
    <row r="40" spans="2:27" x14ac:dyDescent="0.25">
      <c r="B40" s="132" t="s">
        <v>575</v>
      </c>
      <c r="C40" s="133">
        <v>0</v>
      </c>
      <c r="D40" s="134">
        <v>0</v>
      </c>
      <c r="E40" s="135"/>
      <c r="F40" s="133">
        <v>0</v>
      </c>
      <c r="G40" s="136" t="s">
        <v>50</v>
      </c>
      <c r="H40" s="136" t="s">
        <v>50</v>
      </c>
      <c r="I40" s="136" t="s">
        <v>50</v>
      </c>
    </row>
    <row r="41" spans="2:27" x14ac:dyDescent="0.25">
      <c r="B41" s="132" t="s">
        <v>576</v>
      </c>
      <c r="C41" s="133">
        <f>+D58-C58</f>
        <v>0</v>
      </c>
      <c r="D41" s="134">
        <f>+D59-C59</f>
        <v>0</v>
      </c>
      <c r="E41" s="135" t="s">
        <v>50</v>
      </c>
      <c r="F41" s="133">
        <f>+D60-C60</f>
        <v>0</v>
      </c>
      <c r="G41" s="136" t="s">
        <v>50</v>
      </c>
      <c r="H41" s="130" t="str">
        <f>IF(H39&lt;&gt;"-",+D61-C61,H39)</f>
        <v>-</v>
      </c>
      <c r="I41" s="131" t="str">
        <f>IF(I39&lt;&gt;"-",+D62-C62,I39)</f>
        <v>-</v>
      </c>
    </row>
    <row r="42" spans="2:27" x14ac:dyDescent="0.25">
      <c r="B42" s="132" t="s">
        <v>577</v>
      </c>
      <c r="C42" s="133">
        <f>+F58-E58</f>
        <v>0</v>
      </c>
      <c r="D42" s="134">
        <f>+F59-E59</f>
        <v>0</v>
      </c>
      <c r="E42" s="135" t="s">
        <v>50</v>
      </c>
      <c r="F42" s="133">
        <f>+F60-E60</f>
        <v>0</v>
      </c>
      <c r="G42" s="136" t="s">
        <v>50</v>
      </c>
      <c r="H42" s="137" t="str">
        <f>IF(H39&lt;&gt;"-",F61-E61,H39)</f>
        <v>-</v>
      </c>
      <c r="I42" s="138" t="str">
        <f>IF(I39&lt;&gt;"-",F62-E62,"-")</f>
        <v>-</v>
      </c>
    </row>
    <row r="43" spans="2:27" x14ac:dyDescent="0.25">
      <c r="B43" s="132" t="s">
        <v>578</v>
      </c>
      <c r="C43" s="133">
        <f>C39-C41-C42</f>
        <v>0</v>
      </c>
      <c r="D43" s="134">
        <f>D39-D41-D42</f>
        <v>0</v>
      </c>
      <c r="E43" s="139">
        <f>(30.97376*2+15.9994*5)/(30.97376*2)*D43</f>
        <v>0</v>
      </c>
      <c r="F43" s="134">
        <f>F39-F41-F42</f>
        <v>0</v>
      </c>
      <c r="G43" s="139">
        <f>+F43*1.2</f>
        <v>0</v>
      </c>
      <c r="H43" s="130" t="str">
        <f>IF(H39&lt;&gt;"-",H39-H41-H42,H39)</f>
        <v>-</v>
      </c>
      <c r="I43" s="140" t="str">
        <f>IF(I39&lt;&gt;"-",I39-I41-I42,I39)</f>
        <v>-</v>
      </c>
    </row>
    <row r="44" spans="2:27" x14ac:dyDescent="0.25">
      <c r="B44" s="141" t="s">
        <v>579</v>
      </c>
      <c r="C44" s="142" t="e">
        <f>C43*G34/100</f>
        <v>#DIV/0!</v>
      </c>
      <c r="D44" s="134" t="s">
        <v>580</v>
      </c>
      <c r="E44" s="143" t="s">
        <v>580</v>
      </c>
      <c r="F44" s="134" t="s">
        <v>580</v>
      </c>
      <c r="G44" s="143" t="s">
        <v>580</v>
      </c>
      <c r="H44" s="130" t="s">
        <v>580</v>
      </c>
      <c r="I44" s="130" t="s">
        <v>580</v>
      </c>
    </row>
    <row r="45" spans="2:27" x14ac:dyDescent="0.25">
      <c r="B45" s="144" t="s">
        <v>581</v>
      </c>
      <c r="C45" s="187">
        <f>IF('Porc (Aliments)'!$E$2="Méthode du BRS",C43+C40-C44,0)+ IF('Porc (Aliments)'!$E$2="Alimentation standard",'Porc (Effectif détaillé)'!I65,0)+IF('Porc (Aliments)'!$E$2="Alimentation biphase",'Porc (Effectif détaillé)'!I72,0)</f>
        <v>0</v>
      </c>
      <c r="D45" s="145">
        <f>D39+D40-D41-D42</f>
        <v>0</v>
      </c>
      <c r="E45" s="188">
        <f>IF('Porc (Aliments)'!$E$2="Méthode du BRS",(30.97376*2+15.9994*5)/(30.97376*2)*D45,0)+IF('Porc (Aliments)'!$E$2="Alimentation standard",'Porc (Effectif détaillé)'!J65,0)+IF('Porc (Aliments)'!$E$2="Alimentation biphase",'Porc (Effectif détaillé)'!J72,0)</f>
        <v>0</v>
      </c>
      <c r="F45" s="145">
        <f>F39+F40-F41-F42</f>
        <v>0</v>
      </c>
      <c r="G45" s="189">
        <f>IF('Porc (Aliments)'!$E$2="Méthode du BRS",F45*1.2,0)+IF('Porc (Aliments)'!$E$2="Alimentation standard",'Porc (Effectif détaillé)'!K65,0)+IF('Porc (Aliments)'!$E$2="Alimentation biphase",'Porc (Effectif détaillé)'!K72,0)</f>
        <v>0</v>
      </c>
      <c r="H45" s="190">
        <f>IF('Porc (Aliments)'!$E$2="Méthode du BRS",H43,(IF(Param_porcs!$G$16=11,('Porc (Effectif détaillé)'!$D$41+'Porc (Effectif détaillé)'!$C$41+'Porc (Effectif détaillé)'!$C$42+'Porc (Effectif détaillé)'!$D$42)/2*18.24,0)+IF(Param_porcs!$G$16=12,('Porc (Effectif détaillé)'!$D$44-'Porc (Effectif détaillé)'!$C$44+'Porc (Effectif détaillé)'!$C$51+'Porc (Effectif détaillé)'!$C$52)*4.17,0)+IF(Param_porcs!$G$16=13,('Porc (Effectif détaillé)'!$D$43-'Porc (Effectif détaillé)'!$C$43+'Porc (Effectif détaillé)'!$C$50+'Porc (Effectif détaillé)'!$C$51+'Porc (Effectif détaillé)'!$C$52)*6.04,0)+IF(Param_porcs!$G$17=11,('Porc (Effectif détaillé)'!$D$41+'Porc (Effectif détaillé)'!$C$41+'Porc (Effectif détaillé)'!$C$42+'Porc (Effectif détaillé)'!$D$42)/2*18.24,0)+IF(Param_porcs!$G$17=12,('Porc (Effectif détaillé)'!$D$44-'Porc (Effectif détaillé)'!$C$44+'Porc (Effectif détaillé)'!$C$51+'Porc (Effectif détaillé)'!$C$52)*4.17,0)+IF(Param_porcs!$G$17=13,('Porc (Effectif détaillé)'!$D$43-'Porc (Effectif détaillé)'!$C$43+'Porc (Effectif détaillé)'!$C$50+'Porc (Effectif détaillé)'!$C$51+'Porc (Effectif détaillé)'!$C$52)*6.04,0)+IF(Param_porcs!$G$18=11,('Porc (Effectif détaillé)'!$D$41+'Porc (Effectif détaillé)'!$C$41+'Porc (Effectif détaillé)'!$C$42+'Porc (Effectif détaillé)'!$D$42)/2*18.24,0)+IF(Param_porcs!$G$18=12,('Porc (Effectif détaillé)'!$D$44-'Porc (Effectif détaillé)'!$C$44+'Porc (Effectif détaillé)'!$C$51+'Porc (Effectif détaillé)'!$C$52)*4.17,0)+IF(Param_porcs!$G$18=13,('Porc (Effectif détaillé)'!$D$43-'Porc (Effectif détaillé)'!$C$43+'Porc (Effectif détaillé)'!$C$50+'Porc (Effectif détaillé)'!$C$51+'Porc (Effectif détaillé)'!$C$52)*6.04,0)+IF(Param_porcs!$G$19=11,('Porc (Effectif détaillé)'!$D$41+'Porc (Effectif détaillé)'!$C$41+'Porc (Effectif détaillé)'!$C$42+'Porc (Effectif détaillé)'!$D$42)/2*18.24,0)+IF(Param_porcs!$G$19=12,('Porc (Effectif détaillé)'!$D$44-'Porc (Effectif détaillé)'!$C$44+'Porc (Effectif détaillé)'!$C$51+'Porc (Effectif détaillé)'!$C$52)*4.17,0)+IF(Param_porcs!$G$19=13,('Porc (Effectif détaillé)'!$D$43-'Porc (Effectif détaillé)'!$C$43+'Porc (Effectif détaillé)'!$C$50+'Porc (Effectif détaillé)'!$C$51+'Porc (Effectif détaillé)'!$C$52)*6.04,0))/1000)</f>
        <v>0</v>
      </c>
      <c r="I45" s="191">
        <f>IF('Porc (Aliments)'!$E$2="Méthode du BRS",I43,(IF(Param_porcs!$G$16=11,('Porc (Effectif détaillé)'!$D$41+'Porc (Effectif détaillé)'!$C$41+'Porc (Effectif détaillé)'!$C$42+'Porc (Effectif détaillé)'!$D$42)/2*138,0)+IF(Param_porcs!$G$16=12,('Porc (Effectif détaillé)'!$D$44-'Porc (Effectif détaillé)'!$C$44+'Porc (Effectif détaillé)'!$C$51+'Porc (Effectif détaillé)'!$C$52)*22.42,0)+IF(Param_porcs!$G$16=13,('Porc (Effectif détaillé)'!$D$43-'Porc (Effectif détaillé)'!$C$43+'Porc (Effectif détaillé)'!$C$50+'Porc (Effectif détaillé)'!$C$51+'Porc (Effectif détaillé)'!$C$52)*4.92,0)+IF(Param_porcs!$G$17=11,('Porc (Effectif détaillé)'!$D$41+'Porc (Effectif détaillé)'!$C$41+'Porc (Effectif détaillé)'!$C$42+'Porc (Effectif détaillé)'!$D$42)/2*138,0)+IF(Param_porcs!$G$17=12,('Porc (Effectif détaillé)'!$D$44-'Porc (Effectif détaillé)'!$C$44+'Porc (Effectif détaillé)'!$C$51+'Porc (Effectif détaillé)'!$C$52)*22.42,0)+IF(Param_porcs!$G$17=13,('Porc (Effectif détaillé)'!$D$43-'Porc (Effectif détaillé)'!$C$43+'Porc (Effectif détaillé)'!$C$50+'Porc (Effectif détaillé)'!$C$51+'Porc (Effectif détaillé)'!$C$52)*4.92,0)+IF(Param_porcs!$G$18=11,('Porc (Effectif détaillé)'!$D$41+'Porc (Effectif détaillé)'!$C$41+'Porc (Effectif détaillé)'!$C$42+'Porc (Effectif détaillé)'!$D$42)/2*138,0)+IF(Param_porcs!$G$18=12,('Porc (Effectif détaillé)'!$D$44-'Porc (Effectif détaillé)'!$C$44+'Porc (Effectif détaillé)'!$C$51+'Porc (Effectif détaillé)'!$C$52)*22.42,0)+IF(Param_porcs!$G$18=13,('Porc (Effectif détaillé)'!$D$43-'Porc (Effectif détaillé)'!$C$43+'Porc (Effectif détaillé)'!$C$50+'Porc (Effectif détaillé)'!$C$51+'Porc (Effectif détaillé)'!$C$52)*4.92,0)+IF(Param_porcs!$G$19=11,('Porc (Effectif détaillé)'!$D$41+'Porc (Effectif détaillé)'!$C$41+'Porc (Effectif détaillé)'!$C$42+'Porc (Effectif détaillé)'!$D$42)/2*138,0)+IF(Param_porcs!$G$19=12,('Porc (Effectif détaillé)'!$D$44-'Porc (Effectif détaillé)'!$C$44+'Porc (Effectif détaillé)'!$C$51+'Porc (Effectif détaillé)'!$C$52)*22.42,0)+IF(Param_porcs!$G$19=13,('Porc (Effectif détaillé)'!$D$43-'Porc (Effectif détaillé)'!$C$43+'Porc (Effectif détaillé)'!$C$50+'Porc (Effectif détaillé)'!$C$51+'Porc (Effectif détaillé)'!$C$52)*4.92,0))/1000)</f>
        <v>0</v>
      </c>
    </row>
    <row r="46" spans="2:27" x14ac:dyDescent="0.25">
      <c r="B46" s="99"/>
      <c r="C46" s="111"/>
      <c r="D46" s="111"/>
      <c r="E46" s="111"/>
      <c r="F46" s="111"/>
      <c r="G46" s="111"/>
      <c r="H46" s="111"/>
      <c r="I46" s="112"/>
    </row>
    <row r="47" spans="2:27" x14ac:dyDescent="0.25">
      <c r="B47" s="115" t="s">
        <v>582</v>
      </c>
      <c r="C47" s="111"/>
      <c r="D47" s="111"/>
      <c r="E47" s="111"/>
      <c r="F47" s="111"/>
      <c r="G47" s="111"/>
      <c r="H47" s="111"/>
      <c r="I47" s="112"/>
    </row>
    <row r="48" spans="2:27" x14ac:dyDescent="0.25">
      <c r="B48" s="146"/>
      <c r="C48" s="113" t="s">
        <v>583</v>
      </c>
      <c r="D48" s="113" t="s">
        <v>584</v>
      </c>
      <c r="E48" s="113" t="s">
        <v>585</v>
      </c>
      <c r="F48" s="113" t="s">
        <v>586</v>
      </c>
      <c r="G48" s="1141" t="s">
        <v>587</v>
      </c>
      <c r="H48" s="1142"/>
      <c r="I48" s="112"/>
    </row>
    <row r="49" spans="2:9" x14ac:dyDescent="0.25">
      <c r="B49" s="147" t="s">
        <v>588</v>
      </c>
      <c r="C49" s="148"/>
      <c r="D49" s="148"/>
      <c r="E49" s="148"/>
      <c r="F49" s="148"/>
      <c r="G49" s="149"/>
      <c r="H49" s="150"/>
      <c r="I49" s="112"/>
    </row>
    <row r="50" spans="2:9" x14ac:dyDescent="0.25">
      <c r="B50" s="148" t="s">
        <v>589</v>
      </c>
      <c r="C50" s="151"/>
      <c r="D50" s="151"/>
      <c r="E50" s="151">
        <f>IF('Porc (Aliments)'!$A$10="Fosse stockage 1", 'Porc (Aliments)'!$D$15,0) + IF('Porc (Aliments)'!$A$20="Fosse stockage 1",'Porc (Aliments)'!$D$25,0) + IF('Porc (Aliments)'!$A$30="Fosse stockage 1",'Porc (Aliments)'!$D$35,0)</f>
        <v>0</v>
      </c>
      <c r="F50" s="110" t="s">
        <v>50</v>
      </c>
      <c r="G50" s="152">
        <f>E50+C50-D50</f>
        <v>0</v>
      </c>
      <c r="H50" s="150"/>
      <c r="I50" s="112"/>
    </row>
    <row r="51" spans="2:9" x14ac:dyDescent="0.25">
      <c r="B51" s="148" t="s">
        <v>590</v>
      </c>
      <c r="C51" s="151"/>
      <c r="D51" s="151"/>
      <c r="E51" s="151">
        <f>IF('Porc (Aliments)'!$A$10="Fosse stockage 1", 'Porc (Aliments)'!$J$15,0) + IF('Porc (Aliments)'!$A$20="Fosse stockage 1", 'Porc (Aliments)'!$J$25,0) + IF('Porc (Aliments)'!$A$30="Fosse stockage 1", 'Porc (Aliments)'!$J$35, 0)</f>
        <v>0</v>
      </c>
      <c r="F51" s="110" t="s">
        <v>50</v>
      </c>
      <c r="G51" s="152">
        <f t="shared" ref="G51:G55" si="0">E51+C51-D51</f>
        <v>0</v>
      </c>
      <c r="H51" s="153" t="s">
        <v>591</v>
      </c>
      <c r="I51" s="112"/>
    </row>
    <row r="52" spans="2:9" x14ac:dyDescent="0.25">
      <c r="B52" s="148" t="s">
        <v>592</v>
      </c>
      <c r="C52" s="151"/>
      <c r="D52" s="151"/>
      <c r="E52" s="151">
        <f>IF('Porc (Aliments)'!$A$10="Fosse stockage 1",'Porc (Aliments)'!$K$15,0) + IF('Porc (Aliments)'!$A$20="Fosse stockage 1",'Porc (Aliments)'!$K$25,0) + IF('Porc (Aliments)'!$A$30="Fosse stockage 1", 'Porc (Aliments)'!$K$35,0)</f>
        <v>0</v>
      </c>
      <c r="F52" s="110" t="s">
        <v>50</v>
      </c>
      <c r="G52" s="152">
        <f t="shared" si="0"/>
        <v>0</v>
      </c>
      <c r="H52" s="153" t="s">
        <v>593</v>
      </c>
      <c r="I52" s="112"/>
    </row>
    <row r="53" spans="2:9" x14ac:dyDescent="0.25">
      <c r="B53" s="148" t="s">
        <v>594</v>
      </c>
      <c r="C53" s="151"/>
      <c r="D53" s="151"/>
      <c r="E53" s="151">
        <f>IF('Porc (Aliments)'!$A$10="Fosse stockage 1", 'Porc (Aliments)'!$L$15,0) + IF('Porc (Aliments)'!$A$20="Fosse stockage 1", 'Porc (Aliments)'!$L$25,0) + IF('Porc (Aliments)'!$A$30="Fosse stockage 1",'Porc (Aliments)'!$L$35,0)</f>
        <v>0</v>
      </c>
      <c r="F53" s="110" t="s">
        <v>50</v>
      </c>
      <c r="G53" s="152">
        <f t="shared" si="0"/>
        <v>0</v>
      </c>
      <c r="H53" s="153" t="s">
        <v>595</v>
      </c>
      <c r="I53" s="112"/>
    </row>
    <row r="54" spans="2:9" x14ac:dyDescent="0.25">
      <c r="B54" s="148" t="s">
        <v>596</v>
      </c>
      <c r="C54" s="151"/>
      <c r="D54" s="151"/>
      <c r="E54" s="151">
        <f>(IF('Porc (Aliments)'!$A$10="Fosse stockage 1",'Porc (Aliments)'!$M$15,0) + IF('Porc (Aliments)'!$A$20="Fosse stockage 1", 'Porc (Aliments)'!$M$25,0) + IF('Porc (Aliments)'!$A$30="Fosse stockage 1",'Porc (Aliments)'!$M$35,0))/1000</f>
        <v>0</v>
      </c>
      <c r="F54" s="137"/>
      <c r="G54" s="152">
        <f t="shared" si="0"/>
        <v>0</v>
      </c>
      <c r="H54" s="153"/>
      <c r="I54" s="112"/>
    </row>
    <row r="55" spans="2:9" x14ac:dyDescent="0.25">
      <c r="B55" s="155" t="s">
        <v>597</v>
      </c>
      <c r="C55" s="169"/>
      <c r="D55" s="169"/>
      <c r="E55" s="169">
        <f>(IF('Porc (Aliments)'!$A$10="Fosse stockage 1",'Porc (Aliments)'!$N$15,0) + IF('Porc (Aliments)'!$A$20="Fosse stockage 1",'Porc (Aliments)'!$N$25,0) + IF('Porc (Aliments)'!$A$30="Fosse stockage 1",'Porc (Aliments)'!$N$35,0))/1000</f>
        <v>0</v>
      </c>
      <c r="F55" s="157"/>
      <c r="G55" s="152">
        <f t="shared" si="0"/>
        <v>0</v>
      </c>
      <c r="H55" s="158"/>
      <c r="I55" s="112"/>
    </row>
    <row r="56" spans="2:9" x14ac:dyDescent="0.25">
      <c r="B56" s="147" t="s">
        <v>598</v>
      </c>
      <c r="C56" s="159"/>
      <c r="D56" s="159"/>
      <c r="E56" s="159"/>
      <c r="F56" s="160"/>
      <c r="G56" s="161"/>
      <c r="H56" s="162"/>
      <c r="I56" s="112"/>
    </row>
    <row r="57" spans="2:9" x14ac:dyDescent="0.25">
      <c r="B57" s="148" t="s">
        <v>589</v>
      </c>
      <c r="C57" s="151">
        <f>IF('Feuille saisie commune'!$F$15="Fosse stockage 1", IF('Feuille saisie commune'!$C$15="Porcs charcutiers", 'Porc (Effectif détaillé)'!$T$44, 0), 0)+IF('Feuille saisie commune'!$F$16="Fosse stockage 1", IF('Feuille saisie commune'!$C$16="Porcs charcutiers", 'Porc (Effectif détaillé)'!$T$44, 0), 0)+IF('Feuille saisie commune'!$F$17="Fosse stockage 1", IF('Feuille saisie commune'!$C$17="Porcs charcutiers", 'Porc (Effectif détaillé)'!$T$44, 0), 0)+IF('Feuille saisie commune'!$F$47="Fosse stockage 1", IF('Feuille saisie commune'!$B$48="Porcs charcutiers", 'Porc (Effectif détaillé)'!$T$44, 0), 0)+                                                                                                                                                                                      IF('Feuille saisie commune'!$F$15="Fosse stockage 1", IF('Feuille saisie commune'!$C$15="Truies et verrats", 'Porc (Effectif détaillé)'!$T$41+'Porc (Effectif détaillé)'!$T$42, 0), 0)+IF('Feuille saisie commune'!$F$16="Fosse stockage 1", IF('Feuille saisie commune'!$C$16="Truies et verrats", 'Porc (Effectif détaillé)'!$T$41+'Porc (Effectif détaillé)'!$T$42, 0), 0)+IF('Feuille saisie commune'!$F$17="Fosse stockage 1", IF('Feuille saisie commune'!$C$17="Truies et verrats", 'Porc (Effectif détaillé)'!$T$41+'Porc (Effectif détaillé)'!$T$42, 0), 0)+IF('Feuille saisie commune'!$F$47="Fosse stockage 1", IF('Feuille saisie commune'!$B$48="Truies et verrats", 'Porc (Effectif détaillé)'!$T$41+'Porc (Effectif détaillé)'!$T$42, 0), 0)+                                                                                                       IF('Feuille saisie commune'!$F$15="Fosse stockage 1", IF('Feuille saisie commune'!$C$15="Post-sevrage", 'Porc (Effectif détaillé)'!$T$43, 0), 0)+IF('Feuille saisie commune'!$F$16="Fosse stockage 1", IF('Feuille saisie commune'!$C$16="Post-sevrage", 'Porc (Effectif détaillé)'!$T$43, 0), 0)+IF('Feuille saisie commune'!$F$17="Fosse stockage 1", IF('Feuille saisie commune'!$C$17="Post-sevrage", 'Porc (Effectif détaillé)'!$T$43, 0), 0)+IF('Feuille saisie commune'!$F$47="Fosse stockage 1", IF('Feuille saisie commune'!$B$48="Post-sevrage", 'Porc (Effectif détaillé)'!$T$43, 0), 0)</f>
        <v>0</v>
      </c>
      <c r="D57" s="151">
        <f>IF('Feuille saisie commune'!$F$15="Fosse stockage 1", IF('Feuille saisie commune'!$C$15="Porcs charcutiers", 'Porc (Effectif détaillé)'!$U$44, 0), 0)+IF('Feuille saisie commune'!$F$16="Fosse stockage 1", IF('Feuille saisie commune'!$C$16="Porcs charcutiers", 'Porc (Effectif détaillé)'!$U$44, 0), 0)+IF('Feuille saisie commune'!$F$17="Fosse stockage 1", IF('Feuille saisie commune'!$C$17="Porcs charcutiers", 'Porc (Effectif détaillé)'!$U$44, 0), 0)+IF('Feuille saisie commune'!$F$47="Fosse stockage 1", IF('Feuille saisie commune'!$B$48="Porcs charcutiers", 'Porc (Effectif détaillé)'!$U$44, 0), 0)+                                                                                                                                                                                            IF('Feuille saisie commune'!$F$15="Fosse stockage 1", IF('Feuille saisie commune'!$C$15="Truies et verrats", 'Porc (Effectif détaillé)'!$U$41+'Porc (Effectif détaillé)'!$U$42, 0), 0)+IF('Feuille saisie commune'!$F$16="Fosse stockage 1", IF('Feuille saisie commune'!$C$16="Truies et verrats", 'Porc (Effectif détaillé)'!$U$41+'Porc (Effectif détaillé)'!$U$42, 0), 0)+IF('Feuille saisie commune'!$F$17="Fosse stockage 1", IF('Feuille saisie commune'!$C$17="Truies et verrats", 'Porc (Effectif détaillé)'!$U$41+'Porc (Effectif détaillé)'!$U$42, 0), 0)+IF('Feuille saisie commune'!$F$47="Fosse stockage 1", IF('Feuille saisie commune'!$B$48="Truies et verrats", 'Porc (Effectif détaillé)'!$U$41+'Porc (Effectif détaillé)'!$U$42, 0), 0)+                                                                                                           IF('Feuille saisie commune'!$F$15="Fosse stockage 1", IF('Feuille saisie commune'!$C$15="Post-sevrage", 'Porc (Effectif détaillé)'!$U$43, 0), 0)+IF('Feuille saisie commune'!$F$16="Fosse stockage 1", IF('Feuille saisie commune'!$C$16="Post-sevrage", 'Porc (Effectif détaillé)'!$U$43, 0), 0)+IF('Feuille saisie commune'!$F$17="Fosse stockage 1", IF('Feuille saisie commune'!$C$17="Post-sevrage", 'Porc (Effectif détaillé)'!$U$43, 0), 0)+IF('Feuille saisie commune'!$F$47="Fosse stockage 1", IF('Feuille saisie commune'!$B$48="Post-sevrage", 'Porc (Effectif détaillé)'!$U$43, 0), 0)</f>
        <v>0</v>
      </c>
      <c r="E57" s="163">
        <f>IF('Feuille saisie commune'!$F$15="Fosse stockage 1", IF('Feuille saisie commune'!$C$15="Porcs charcutiers", 'Porc (Effectif détaillé)'!$O$50, 0), 0)+IF('Feuille saisie commune'!$F$16="Fosse stockage 1", IF('Feuille saisie commune'!$C$16="Porcs charcutiers", 'Porc (Effectif détaillé)'!$O$50, 0), 0)+IF('Feuille saisie commune'!$F$17="Fosse stockage 1", IF('Feuille saisie commune'!$C$17="Porcs charcutiers", 'Porc (Effectif détaillé)'!$O$50, 0), 0)+IF('Feuille saisie commune'!$F$47="Fosse stockage 1", IF('Feuille saisie commune'!$B$48="Porcs charcutiers", 'Porc (Effectif détaillé)'!$O$50, 0), 0)+                                                                                                                                                                                            IF('Feuille saisie commune'!$F$15="Fosse stockage 1", IF('Feuille saisie commune'!$C$15="Truies et verrats", 'Porc (Effectif détaillé)'!$O$51, 0), 0)+IF('Feuille saisie commune'!$F$16="Fosse stockage 1", IF('Feuille saisie commune'!$C$16="Truies et verrats", 'Porc (Effectif détaillé)'!$O$51, 0), 0)+IF('Feuille saisie commune'!$F$17="Fosse stockage 1", IF('Feuille saisie commune'!$C$17="Truies et verrats", 'Porc (Effectif détaillé)'!$O$51, 0), 0)+IF('Feuille saisie commune'!$F$47="Fosse stockage 1", IF('Feuille saisie commune'!$B$48="Truies et verrats", 'Porc (Effectif détaillé)'!$O$51, 0), 0)+                                                                                                                                                                                                                                               IF('Feuille saisie commune'!$F$15="Fosse stockage 1", IF('Feuille saisie commune'!$C$15="Post-sevrage", 'Porc (Effectif détaillé)'!$O$49, 0), 0)+IF('Feuille saisie commune'!$F$16="Fosse stockage 1", IF('Feuille saisie commune'!$C$16="Post-sevrage", 'Porc (Effectif détaillé)'!$O$49, 0), 0)+IF('Feuille saisie commune'!$F$17="Fosse stockage 1", IF('Feuille saisie commune'!$C$17="Post-sevrage", 'Porc (Effectif détaillé)'!$O$49, 0), 0)+IF('Feuille saisie commune'!$F$47="Fosse stockage 1", IF('Feuille saisie commune'!$B$48="Post-sevrage", 'Porc (Effectif détaillé)'!$O$49, 0), 0)</f>
        <v>0</v>
      </c>
      <c r="F57" s="164">
        <f>IF('Feuille saisie commune'!$F$15="Fosse stockage 1", IF('Feuille saisie commune'!$C$15="Porcs charcutiers", 'Porc (Effectif détaillé)'!$I$51+'Porc (Effectif détaillé)'!$I$52+'Porc (Effectif détaillé)'!$I$54*0.6, 0), 0)+IF('Feuille saisie commune'!$F$16="Fosse stockage 1", IF('Feuille saisie commune'!$C$16="Porcs charcutiers", 'Porc (Effectif détaillé)'!$I$51+'Porc (Effectif détaillé)'!$I$52+'Porc (Effectif détaillé)'!$I$54*0.6, 0), 0)+IF('Feuille saisie commune'!$F$17="Fosse stockage 1", IF('Feuille saisie commune'!$C$17="Porcs charcutiers", 'Porc (Effectif détaillé)'!$I$51+'Porc (Effectif détaillé)'!$I$52+'Porc (Effectif détaillé)'!$I$54*0.6, 0), 0)+IF('Feuille saisie commune'!$F$47="Fosse stockage 1", IF('Feuille saisie commune'!$B$48="Porcs charcutiers", 'Porc (Effectif détaillé)'!$I$51+'Porc (Effectif détaillé)'!$I$52+'Porc (Effectif détaillé)'!$I$54*0.6, 0), 0)+                                                                                                                                   IF('Feuille saisie commune'!$F$15="Fosse stockage 1", IF('Feuille saisie commune'!$C$15="Truies et verrats", 'Porc (Effectif détaillé)'!$I$49+'Porc (Effectif détaillé)'!$I$53+'Porc (Effectif détaillé)'!$I$54*0.4, 0), 0)+IF('Feuille saisie commune'!$F$16="Fosse stockage 1", IF('Feuille saisie commune'!$C$16="Truies et verrats", 'Porc (Effectif détaillé)'!$I$49+'Porc (Effectif détaillé)'!$I$53+'Porc (Effectif détaillé)'!$I$54*0.4, 0), 0)+IF('Feuille saisie commune'!$F$17="Fosse stockage 1", IF('Feuille saisie commune'!$C$17="Truies et verrats", 'Porc (Effectif détaillé)'!$I$49+'Porc (Effectif détaillé)'!$I$53+'Porc (Effectif détaillé)'!$I$54*0.4, 0), 0)+IF('Feuille saisie commune'!$F$47="Fosse stockage 1", IF('Feuille saisie commune'!$B$48="Truies et verrats", 'Porc (Effectif détaillé)'!I$49+'Porc (Effectif détaillé)'!I$53+'Porc (Effectif détaillé)'!I$54*0.4, 0), 0)+                                                                                                                                                                                                              IF('Feuille saisie commune'!$F$15="Fosse stockage 1", IF('Feuille saisie commune'!$C$15="Post-sevrage", 'Porc (Effectif détaillé)'!$I$50, 0), 0)+IF('Feuille saisie commune'!$F$16="Fosse stockage 1", IF('Feuille saisie commune'!$C$16="Post-sevrage", 'Porc (Effectif détaillé)'!$I$50, 0), 0)+IF('Feuille saisie commune'!$F$17="Fosse stockage 1", IF('Feuille saisie commune'!$C$17="Post-sevrage", 'Porc (Effectif détaillé)'!$I$50, 0), 0)+IF('Feuille saisie commune'!$F$47="Fosse stockage 1", IF('Feuille saisie commune'!$B$48="Post-sevrage", 'Porc (Effectif détaillé)'!$I$50, 0), 0)</f>
        <v>0</v>
      </c>
      <c r="G57" s="152">
        <f>-C57+D57+F57-E57</f>
        <v>0</v>
      </c>
      <c r="H57" s="153"/>
      <c r="I57" s="112"/>
    </row>
    <row r="58" spans="2:9" x14ac:dyDescent="0.25">
      <c r="B58" s="148" t="s">
        <v>590</v>
      </c>
      <c r="C58" s="151">
        <f>IF('Feuille saisie commune'!$F$15="Fosse stockage 1", IF('Feuille saisie commune'!$C$15="Porcs charcutiers", 'Porc (Effectif détaillé)'!$J$44, 0), 0)+IF('Feuille saisie commune'!$F$16="Fosse stockage 1", IF('Feuille saisie commune'!$C$16="Porcs charcutiers", 'Porc (Effectif détaillé)'!$J$44, 0), 0)+IF('Feuille saisie commune'!$F$17="Fosse stockage 1", IF('Feuille saisie commune'!$C$17="Porcs charcutiers", 'Porc (Effectif détaillé)'!$J$44, 0), 0)+IF('Feuille saisie commune'!$F$47="Fosse stockage 1", IF('Feuille saisie commune'!$B$48="Porcs charcutiers", 'Porc (Effectif détaillé)'!$J$44, 0), 0)+                                                                                                                                                                                      IF('Feuille saisie commune'!$F$15="Fosse stockage 1", IF('Feuille saisie commune'!$C$15="Truies et verrats", 'Porc (Effectif détaillé)'!$J$41+'Porc (Effectif détaillé)'!$J$42, 0), 0)+IF('Feuille saisie commune'!$F$16="Fosse stockage 1", IF('Feuille saisie commune'!$C$16="Truies et verrats", 'Porc (Effectif détaillé)'!$J$41+'Porc (Effectif détaillé)'!$J$42, 0), 0)+IF('Feuille saisie commune'!$F$17="Fosse stockage 1", IF('Feuille saisie commune'!$C$17="Truies et verrats", 'Porc (Effectif détaillé)'!$J$41+'Porc (Effectif détaillé)'!$J$42, 0), 0)+IF('Feuille saisie commune'!$F$47="Fosse stockage 1", IF('Feuille saisie commune'!$B$48="Truies et verrats", 'Porc (Effectif détaillé)'!$J$41+'Porc (Effectif détaillé)'!$J$42, 0), 0)+                                                                                                       IF('Feuille saisie commune'!$F$15="Fosse stockage 1", IF('Feuille saisie commune'!$C$15="Post-sevrage", 'Porc (Effectif détaillé)'!$J$43, 0), 0)+IF('Feuille saisie commune'!$F$16="Fosse stockage 1", IF('Feuille saisie commune'!$C$16="Post-sevrage", 'Porc (Effectif détaillé)'!$J$43, 0), 0)+IF('Feuille saisie commune'!$F$17="Fosse stockage 1", IF('Feuille saisie commune'!$C$17="Post-sevrage", 'Porc (Effectif détaillé)'!$J$43, 0), 0)+IF('Feuille saisie commune'!$F$47="Fosse stockage 1", IF('Feuille saisie commune'!$B$48="Post-sevrage", 'Porc (Effectif détaillé)'!$J$43, 0), 0)</f>
        <v>0</v>
      </c>
      <c r="D58" s="151">
        <f>IF('Feuille saisie commune'!$F$15="Fosse stockage 1", IF('Feuille saisie commune'!$C$15="Porcs charcutiers", 'Porc (Effectif détaillé)'!$K$44, 0), 0)+IF('Feuille saisie commune'!$F$16="Fosse stockage 1", IF('Feuille saisie commune'!$C$16="Porcs charcutiers", 'Porc (Effectif détaillé)'!$K$44, 0), 0)+IF('Feuille saisie commune'!$F$17="Fosse stockage 1", IF('Feuille saisie commune'!$C$17="Porcs charcutiers", 'Porc (Effectif détaillé)'!$K$44, 0), 0)+IF('Feuille saisie commune'!$F$47="Fosse stockage 1", IF('Feuille saisie commune'!$B$48="Porcs charcutiers", 'Porc (Effectif détaillé)'!$K$44, 0), 0)+                                                                                                                                                                                            IF('Feuille saisie commune'!$F$15="Fosse stockage 1", IF('Feuille saisie commune'!$C$15="Truies et verrats", 'Porc (Effectif détaillé)'!$K$41+'Porc (Effectif détaillé)'!$K$42, 0), 0)+IF('Feuille saisie commune'!$F$16="Fosse stockage 1", IF('Feuille saisie commune'!$C$16="Truies et verrats", 'Porc (Effectif détaillé)'!$K$41+'Porc (Effectif détaillé)'!$K$42, 0), 0)+IF('Feuille saisie commune'!$F$17="Fosse stockage 1", IF('Feuille saisie commune'!$C$17="Truies et verrats", 'Porc (Effectif détaillé)'!$K$41+'Porc (Effectif détaillé)'!$K$42, 0), 0)+IF('Feuille saisie commune'!$F$47="Fosse stockage 1", IF('Feuille saisie commune'!$B$48="Truies et verrats", 'Porc (Effectif détaillé)'!$K$41+'Porc (Effectif détaillé)'!$K$42, 0), 0)+                                                                                                          IF('Feuille saisie commune'!$F$15="Fosse stockage 1", IF('Feuille saisie commune'!$C$15="Post-sevrage", 'Porc (Effectif détaillé)'!$K$43, 0), 0)+IF('Feuille saisie commune'!$F$16="Fosse stockage 1", IF('Feuille saisie commune'!$C$16="Post-sevrage", 'Porc (Effectif détaillé)'!$K$43, 0), 0)+IF('Feuille saisie commune'!$F$17="Fosse stockage 1", IF('Feuille saisie commune'!$C$17="Post-sevrage", 'Porc (Effectif détaillé)'!$K$43, 0), 0)+IF('Feuille saisie commune'!$F$47="Fosse stockage 1", IF('Feuille saisie commune'!$B$48="Post-sevrage", 'Porc (Effectif détaillé)'!$K$43, 0), 0)</f>
        <v>0</v>
      </c>
      <c r="E58" s="163">
        <f>IF('Feuille saisie commune'!$F$15="Fosse stockage 1", IF('Feuille saisie commune'!$C$15="Porcs charcutiers", 'Porc (Effectif détaillé)'!$P$50, 0), 0)+IF('Feuille saisie commune'!$F$16="Fosse stockage 1", IF('Feuille saisie commune'!$C$16="Porcs charcutiers", 'Porc (Effectif détaillé)'!$P$50, 0), 0)+IF('Feuille saisie commune'!$F$17="Fosse stockage 1", IF('Feuille saisie commune'!$C$17="Porcs charcutiers", 'Porc (Effectif détaillé)'!$P$50, 0), 0)+IF('Feuille saisie commune'!$F$47="Fosse stockage 1", IF('Feuille saisie commune'!$B$48="Porcs charcutiers", 'Porc (Effectif détaillé)'!$P$50, 0), 0)+                                                                                                                                                                                            IF('Feuille saisie commune'!$F$15="Fosse stockage 1", IF('Feuille saisie commune'!$C$15="Truies et verrats", 'Porc (Effectif détaillé)'!$P$51, 0), 0)+IF('Feuille saisie commune'!$F$16="Fosse stockage 1", IF('Feuille saisie commune'!$C$16="Truies et verrats", 'Porc (Effectif détaillé)'!$P$51, 0), 0)+IF('Feuille saisie commune'!$F$17="Fosse stockage 1", IF('Feuille saisie commune'!$C$17="Truies et verrats", 'Porc (Effectif détaillé)'!$P$51, 0), 0)+IF('Feuille saisie commune'!$F$47="Fosse stockage 1", IF('Feuille saisie commune'!$B$48="Truies et verrats", 'Porc (Effectif détaillé)'!$P$51, 0), 0)+                                                                                                                                                                                                                                               IF('Feuille saisie commune'!$F$15="Fosse stockage 1", IF('Feuille saisie commune'!$C$15="Post-sevrage", 'Porc (Effectif détaillé)'!$P$49, 0), 0)+IF('Feuille saisie commune'!$F$16="Fosse stockage 1", IF('Feuille saisie commune'!$C$16="Post-sevrage", 'Porc (Effectif détaillé)'!$P$49, 0), 0)+IF('Feuille saisie commune'!$F$17="Fosse stockage 1", IF('Feuille saisie commune'!$C$17="Post-sevrage", 'Porc (Effectif détaillé)'!$P$49, 0), 0)+IF('Feuille saisie commune'!$F$47="Fosse stockage 1", IF('Feuille saisie commune'!$B$48="Post-sevrage", 'Porc (Effectif détaillé)'!$P$49, 0), 0)</f>
        <v>0</v>
      </c>
      <c r="F58" s="164">
        <f>IF('Feuille saisie commune'!$F$15="Fosse stockage 1", IF('Feuille saisie commune'!$C$15="Porcs charcutiers", 'Porc (Effectif détaillé)'!$J$51+'Porc (Effectif détaillé)'!$J$52+'Porc (Effectif détaillé)'!$J$54*0.6, 0), 0)+IF('Feuille saisie commune'!$F$16="Fosse stockage 1", IF('Feuille saisie commune'!$C$16="Porcs charcutiers", 'Porc (Effectif détaillé)'!$J$51+'Porc (Effectif détaillé)'!$J$52+'Porc (Effectif détaillé)'!$J$54*0.6, 0), 0)+IF('Feuille saisie commune'!$F$17="Fosse stockage 1", IF('Feuille saisie commune'!$C$17="Porcs charcutiers", 'Porc (Effectif détaillé)'!$J$51+'Porc (Effectif détaillé)'!$J$52+'Porc (Effectif détaillé)'!$J$54*0.6, 0), 0)+IF('Feuille saisie commune'!$F$47="Fosse stockage 1", IF('Feuille saisie commune'!$B$48="Porcs charcutiers", 'Porc (Effectif détaillé)'!$J$51+'Porc (Effectif détaillé)'!$J$52+'Porc (Effectif détaillé)'!$J$54*0.6, 0), 0)+                                                                                                                                   IF('Feuille saisie commune'!$F$15="Fosse stockage 1", IF('Feuille saisie commune'!$C$15="Truies et verrats", 'Porc (Effectif détaillé)'!$J$49+'Porc (Effectif détaillé)'!$J$53+'Porc (Effectif détaillé)'!$J$54*0.4, 0), 0)+IF('Feuille saisie commune'!$F$16="Fosse stockage 1", IF('Feuille saisie commune'!$C$16="Truies et verrats", 'Porc (Effectif détaillé)'!$J$49+'Porc (Effectif détaillé)'!$J$53+'Porc (Effectif détaillé)'!$J$54*0.4, 0), 0)+IF('Feuille saisie commune'!$F$17="Fosse stockage 1", IF('Feuille saisie commune'!$C$17="Truies et verrats", 'Porc (Effectif détaillé)'!$J$49+'Porc (Effectif détaillé)'!$J$53+'Porc (Effectif détaillé)'!$J$54*0.4, 0), 0)+IF('Feuille saisie commune'!$F$47="Fosse stockage 1", IF('Feuille saisie commune'!$B$48="Truies et verrats", 'Porc (Effectif détaillé)'!$J$49+'Porc (Effectif détaillé)'!$J$53+'Porc (Effectif détaillé)'!$J$54*0.4, 0), 0)+                                                                                                                                                                                                              IF('Feuille saisie commune'!$F$15="Fosse stockage 1", IF('Feuille saisie commune'!$C$15="Post-sevrage", 'Porc (Effectif détaillé)'!$J$50, 0), 0)+IF('Feuille saisie commune'!$F$16="Fosse stockage 1", IF('Feuille saisie commune'!$C$16="Post-sevrage", 'Porc (Effectif détaillé)'!$J$50, 0), 0)+IF('Feuille saisie commune'!$F$17="Fosse stockage 1", IF('Feuille saisie commune'!$C$17="Post-sevrage", 'Porc (Effectif détaillé)'!$J$50, 0), 0)+IF('Feuille saisie commune'!$F$47="Fosse stockage 1", IF('Feuille saisie commune'!$B$48="Post-sevrage", 'Porc (Effectif détaillé)'!$J$50, 0), 0)</f>
        <v>0</v>
      </c>
      <c r="G58" s="152">
        <f t="shared" ref="G58:G62" si="1">-C58+D58+F58-E58</f>
        <v>0</v>
      </c>
      <c r="H58" s="153" t="s">
        <v>599</v>
      </c>
      <c r="I58" s="112"/>
    </row>
    <row r="59" spans="2:9" x14ac:dyDescent="0.25">
      <c r="B59" s="148" t="s">
        <v>600</v>
      </c>
      <c r="C59" s="151">
        <f>IF('Feuille saisie commune'!$F$15="Fosse stockage 1", IF('Feuille saisie commune'!$C$15="Porcs charcutiers", 'Porc (Effectif détaillé)'!$L$44, 0), 0)+IF('Feuille saisie commune'!$F$16="Fosse stockage 1", IF('Feuille saisie commune'!$C$16="Porcs charcutiers", 'Porc (Effectif détaillé)'!$L$44, 0), 0)+IF('Feuille saisie commune'!$F$17="Fosse stockage 1", IF('Feuille saisie commune'!$C$17="Porcs charcutiers", 'Porc (Effectif détaillé)'!$L$44, 0), 0)+IF('Feuille saisie commune'!$F$47="Fosse stockage 1", IF('Feuille saisie commune'!$B$48="Porcs charcutiers", 'Porc (Effectif détaillé)'!$L$44, 0), 0)+                                                                                                                                                                                          IF('Feuille saisie commune'!$F$15="Fosse stockage 1", IF('Feuille saisie commune'!$C$15="Truies et verrats", 'Porc (Effectif détaillé)'!$L$41+'Porc (Effectif détaillé)'!$L$42, 0), 0)+IF('Feuille saisie commune'!$F$16="Fosse stockage 1", IF('Feuille saisie commune'!$C$16="Truies et verrats", 'Porc (Effectif détaillé)'!$L$41+'Porc (Effectif détaillé)'!$L$42, 0), 0)+IF('Feuille saisie commune'!$F$17="Fosse stockage 1", IF('Feuille saisie commune'!$C$17="Truies et verrats", 'Porc (Effectif détaillé)'!$L$41+'Porc (Effectif détaillé)'!$L$42, 0), 0)+IF('Feuille saisie commune'!$F$47="Fosse stockage 1", IF('Feuille saisie commune'!$B$48="Truies et verrats", 'Porc (Effectif détaillé)'!$L$41+'Porc (Effectif détaillé)'!$L$42, 0), 0)+                                                                                                       IF('Feuille saisie commune'!$F$15="Fosse stockage 1", IF('Feuille saisie commune'!$C$15="Post-sevrage", 'Porc (Effectif détaillé)'!$L$43, 0), 0)+IF('Feuille saisie commune'!$F$16="Fosse stockage 1", IF('Feuille saisie commune'!$C$16="Post-sevrage", 'Porc (Effectif détaillé)'!$L$43, 0), 0)+IF('Feuille saisie commune'!$F$17="Fosse stockage 1", IF('Feuille saisie commune'!$C$17="Post-sevrage", 'Porc (Effectif détaillé)'!$L$43, 0), 0)+IF('Feuille saisie commune'!$F$47="Fosse stockage 1", IF('Feuille saisie commune'!$B$48="Post-sevrage", 'Porc (Effectif détaillé)'!$L$43, 0), 0)</f>
        <v>0</v>
      </c>
      <c r="D59" s="151">
        <f>IF('Feuille saisie commune'!$F$15="Fosse stockage 1", IF('Feuille saisie commune'!$C$15="Porcs charcutiers", 'Porc (Effectif détaillé)'!$M$44, 0), 0)+IF('Feuille saisie commune'!$F$16="Fosse stockage 1", IF('Feuille saisie commune'!$C$16="Porcs charcutiers", 'Porc (Effectif détaillé)'!$M$44, 0), 0)+IF('Feuille saisie commune'!$F$17="Fosse stockage 1", IF('Feuille saisie commune'!$C$17="Porcs charcutiers", 'Porc (Effectif détaillé)'!$M$44, 0), 0)+IF('Feuille saisie commune'!$F$47="Fosse stockage 1", IF('Feuille saisie commune'!$B$48="Porcs charcutiers", 'Porc (Effectif détaillé)'!$M$44, 0), 0)+                                                                                                                                                                                       IF('Feuille saisie commune'!$F$15="Fosse stockage 1", IF('Feuille saisie commune'!$C$15="Truies et verrats", 'Porc (Effectif détaillé)'!$M$41+'Porc (Effectif détaillé)'!$M$42, 0), 0)+IF('Feuille saisie commune'!$F$16="Fosse stockage 1", IF('Feuille saisie commune'!$C$16="Truies et verrats", 'Porc (Effectif détaillé)'!$M$41+'Porc (Effectif détaillé)'!$M$42, 0), 0)+IF('Feuille saisie commune'!$F$17="Fosse stockage 1", IF('Feuille saisie commune'!$C$17="Truies et verrats", 'Porc (Effectif détaillé)'!$M$41+'Porc (Effectif détaillé)'!$M$42, 0), 0)+IF('Feuille saisie commune'!$F$47="Fosse stockage 1", IF('Feuille saisie commune'!$B$48="Truies et verrats", 'Porc (Effectif détaillé)'!$M$41+'Porc (Effectif détaillé)'!$M$42, 0), 0)+                                                                                                          IF('Feuille saisie commune'!$F$15="Fosse stockage 1", IF('Feuille saisie commune'!$C$15="Post-sevrage", 'Porc (Effectif détaillé)'!$M$43, 0), 0)+IF('Feuille saisie commune'!$F$16="Fosse stockage 1", IF('Feuille saisie commune'!$C$16="Post-sevrage", 'Porc (Effectif détaillé)'!$M$43, 0), 0)+IF('Feuille saisie commune'!$F$17="Fosse stockage 1", IF('Feuille saisie commune'!$C$17="Post-sevrage", 'Porc (Effectif détaillé)'!$M$43, 0), 0)+IF('Feuille saisie commune'!$F$47="Fosse stockage 1", IF('Feuille saisie commune'!$B$48="Post-sevrage", 'Porc (Effectif détaillé)'!$M$43, 0), 0)</f>
        <v>0</v>
      </c>
      <c r="E59" s="163">
        <f>IF('Feuille saisie commune'!$F$15="Fosse stockage 1", IF('Feuille saisie commune'!$C$15="Porcs charcutiers", 'Porc (Effectif détaillé)'!$Q$50, 0), 0)+IF('Feuille saisie commune'!$F$16="Fosse stockage 1", IF('Feuille saisie commune'!$C$16="Porcs charcutiers", 'Porc (Effectif détaillé)'!$Q$50, 0), 0)+IF('Feuille saisie commune'!$F$17="Fosse stockage 1", IF('Feuille saisie commune'!$C$17="Porcs charcutiers", 'Porc (Effectif détaillé)'!$Q$50, 0), 0)+IF('Feuille saisie commune'!$F$47="Fosse stockage 1", IF('Feuille saisie commune'!$B$48="Porcs charcutiers", 'Porc (Effectif détaillé)'!$Q$50, 0), 0)+                                                                                                                                                                                            IF('Feuille saisie commune'!$F$15="Fosse stockage 1", IF('Feuille saisie commune'!$C$15="Truies et verrats", 'Porc (Effectif détaillé)'!$Q$51, 0), 0)+IF('Feuille saisie commune'!$F$16="Fosse stockage 1", IF('Feuille saisie commune'!$C$16="Truies et verrats", 'Porc (Effectif détaillé)'!$Q$51, 0), 0)+IF('Feuille saisie commune'!$F$17="Fosse stockage 1", IF('Feuille saisie commune'!$C$17="Truies et verrats", 'Porc (Effectif détaillé)'!$Q$51, 0), 0)+IF('Feuille saisie commune'!$F$47="Fosse stockage 1", IF('Feuille saisie commune'!$B$48="Truies et verrats", 'Porc (Effectif détaillé)'!$Q$51, 0), 0)+                                                                                                                                                                                                                                               IF('Feuille saisie commune'!$F$15="Fosse stockage 1", IF('Feuille saisie commune'!$C$15="Post-sevrage", 'Porc (Effectif détaillé)'!$Q$49, 0), 0)+IF('Feuille saisie commune'!$F$16="Fosse stockage 1", IF('Feuille saisie commune'!$C$16="Post-sevrage", 'Porc (Effectif détaillé)'!$Q$49, 0), 0)+IF('Feuille saisie commune'!$F$17="Fosse stockage 1", IF('Feuille saisie commune'!$C$17="Post-sevrage", 'Porc (Effectif détaillé)'!$Q$49, 0), 0)+IF('Feuille saisie commune'!$F$47="Fosse stockage 1", IF('Feuille saisie commune'!$B$48="Post-sevrage", 'Porc (Effectif détaillé)'!$Q$49, 0), 0)</f>
        <v>0</v>
      </c>
      <c r="F59" s="164">
        <f>IF('Feuille saisie commune'!$F$15="Fosse stockage 1", IF('Feuille saisie commune'!$C$15="Porcs charcutiers", 'Porc (Effectif détaillé)'!$K$51+'Porc (Effectif détaillé)'!$K$52+'Porc (Effectif détaillé)'!$K$54*0.6, 0), 0)+IF('Feuille saisie commune'!$F$16="Fosse stockage 1", IF('Feuille saisie commune'!$C$16="Porcs charcutiers", 'Porc (Effectif détaillé)'!$K$51+'Porc (Effectif détaillé)'!$K$52+'Porc (Effectif détaillé)'!$K$54*0.6, 0), 0)+IF('Feuille saisie commune'!$F$17="Fosse stockage 1", IF('Feuille saisie commune'!$C$17="Porcs charcutiers", 'Porc (Effectif détaillé)'!$K$51+'Porc (Effectif détaillé)'!$K$52+'Porc (Effectif détaillé)'!$K$54*0.6, 0), 0)+IF('Feuille saisie commune'!$F$47="Fosse stockage 1", IF('Feuille saisie commune'!$B$48="Porcs charcutiers", 'Porc (Effectif détaillé)'!$K$51+'Porc (Effectif détaillé)'!$K$52+'Porc (Effectif détaillé)'!$K$54*0.6, 0), 0)+                                                                                                                                   IF('Feuille saisie commune'!$F$15="Fosse stockage 1", IF('Feuille saisie commune'!$C$15="Truies et verrats", 'Porc (Effectif détaillé)'!$K$49+'Porc (Effectif détaillé)'!$K$53+'Porc (Effectif détaillé)'!$K$54*0.4, 0), 0)+IF('Feuille saisie commune'!$F$16="Fosse stockage 1", IF('Feuille saisie commune'!$C$16="Truies et verrats", 'Porc (Effectif détaillé)'!$K$49+'Porc (Effectif détaillé)'!$K$53+'Porc (Effectif détaillé)'!$K$54*0.4, 0), 0)+IF('Feuille saisie commune'!$F$17="Fosse stockage 1", IF('Feuille saisie commune'!$C$17="Truies et verrats", 'Porc (Effectif détaillé)'!$K$49+'Porc (Effectif détaillé)'!$K$53+'Porc (Effectif détaillé)'!$K$54*0.4, 0), 0)+IF('Feuille saisie commune'!$F$47="Fosse stockage 1", IF('Feuille saisie commune'!$B$48="Truies et verrats", 'Porc (Effectif détaillé)'!$K$49+'Porc (Effectif détaillé)'!$K$53+'Porc (Effectif détaillé)'!$K$54*0.4, 0), 0)+                                                                                                                                                                                                              IF('Feuille saisie commune'!$F$15="Fosse stockage 1", IF('Feuille saisie commune'!$C$15="Post-sevrage", 'Porc (Effectif détaillé)'!$K$50, 0), 0)+IF('Feuille saisie commune'!$F$16="Fosse stockage 1", IF('Feuille saisie commune'!$C$16="Post-sevrage", 'Porc (Effectif détaillé)'!$K$50, 0), 0)+IF('Feuille saisie commune'!$F$17="Fosse stockage 1", IF('Feuille saisie commune'!$C$17="Post-sevrage", 'Porc (Effectif détaillé)'!$K$50, 0), 0)+IF('Feuille saisie commune'!$F$47="Fosse stockage 1", IF('Feuille saisie commune'!$B$48="Post-sevrage", 'Porc (Effectif détaillé)'!$K$50, 0), 0)</f>
        <v>0</v>
      </c>
      <c r="G59" s="152">
        <f t="shared" si="1"/>
        <v>0</v>
      </c>
      <c r="H59" s="153" t="s">
        <v>601</v>
      </c>
      <c r="I59" s="165"/>
    </row>
    <row r="60" spans="2:9" x14ac:dyDescent="0.25">
      <c r="B60" s="148" t="s">
        <v>594</v>
      </c>
      <c r="C60" s="151">
        <f>IF('Feuille saisie commune'!$F$15="Fosse stockage 1", IF('Feuille saisie commune'!$C$15="Porcs charcutiers", 'Porc (Effectif détaillé)'!$N$44, 0), 0)+IF('Feuille saisie commune'!$F$16="Fosse stockage 1", IF('Feuille saisie commune'!$C$16="Porcs charcutiers", 'Porc (Effectif détaillé)'!$N$44, 0), 0)+IF('Feuille saisie commune'!$F$17="Fosse stockage 1", IF('Feuille saisie commune'!$C$17="Porcs charcutiers", 'Porc (Effectif détaillé)'!$N$44, 0), 0)+IF('Feuille saisie commune'!$F$47="Fosse stockage 1", IF('Feuille saisie commune'!$B$48="Porcs charcutiers", 'Porc (Effectif détaillé)'!$N$44, 0), 0)+                                                                                                                                                                                      IF('Feuille saisie commune'!$F$15="Fosse stockage 1", IF('Feuille saisie commune'!$C$15="Truies et verrats", 'Porc (Effectif détaillé)'!$N$41+'Porc (Effectif détaillé)'!$N$42, 0), 0)+IF('Feuille saisie commune'!$F$16="Fosse stockage 1", IF('Feuille saisie commune'!$C$16="Truies et verrats", 'Porc (Effectif détaillé)'!$N$41+'Porc (Effectif détaillé)'!$N$42, 0), 0)+IF('Feuille saisie commune'!$F$17="Fosse stockage 1", IF('Feuille saisie commune'!$C$17="Truies et verrats", 'Porc (Effectif détaillé)'!$N$41+'Porc (Effectif détaillé)'!$N$42, 0), 0)+IF('Feuille saisie commune'!$F$47="Fosse stockage 1", IF('Feuille saisie commune'!$B$48="Truies et verrats", 'Porc (Effectif détaillé)'!$N$41+'Porc (Effectif détaillé)'!$N$42, 0), 0)+                                                                                                         IF('Feuille saisie commune'!$F$15="Fosse stockage 1", IF('Feuille saisie commune'!$C$15="Post-sevrage", 'Porc (Effectif détaillé)'!$N$43, 0), 0)+IF('Feuille saisie commune'!$F$16="Fosse stockage 1", IF('Feuille saisie commune'!$C$16="Post-sevrage", 'Porc (Effectif détaillé)'!$N$43, 0), 0)+IF('Feuille saisie commune'!$F$17="Fosse stockage 1", IF('Feuille saisie commune'!$C$17="Post-sevrage", 'Porc (Effectif détaillé)'!$N$43, 0), 0)+IF('Feuille saisie commune'!$F$47="Fosse stockage 1", IF('Feuille saisie commune'!$B$48="Post-sevrage", 'Porc (Effectif détaillé)'!$N$43, 0), 0)</f>
        <v>0</v>
      </c>
      <c r="D60" s="151">
        <f>IF('Feuille saisie commune'!$F$15="Fosse stockage 1", IF('Feuille saisie commune'!$C$15="Porcs charcutiers", 'Porc (Effectif détaillé)'!$O$44, 0), 0)+IF('Feuille saisie commune'!$F$16="Fosse stockage 1", IF('Feuille saisie commune'!$C$16="Porcs charcutiers", 'Porc (Effectif détaillé)'!$O$44, 0), 0)+IF('Feuille saisie commune'!$F$17="Fosse stockage 1", IF('Feuille saisie commune'!$C$17="Porcs charcutiers", 'Porc (Effectif détaillé)'!$O$44, 0), 0)+IF('Feuille saisie commune'!$F$47="Fosse stockage 1", IF('Feuille saisie commune'!$B$48="Porcs charcutiers", 'Porc (Effectif détaillé)'!$O$44, 0), 0)+                                                                                                                                                                                               IF('Feuille saisie commune'!$F$15="Fosse stockage 1", IF('Feuille saisie commune'!$C$15="Truies et verrats", 'Porc (Effectif détaillé)'!$O$41+'Porc (Effectif détaillé)'!$O$42, 0), 0)+IF('Feuille saisie commune'!$F$16="Fosse stockage 1", IF('Feuille saisie commune'!$C$16="Truies et verrats", 'Porc (Effectif détaillé)'!$O$41+'Porc (Effectif détaillé)'!$O$42, 0), 0)+IF('Feuille saisie commune'!$F$17="Fosse stockage 1", IF('Feuille saisie commune'!$C$17="Truies et verrats", 'Porc (Effectif détaillé)'!$O$41+'Porc (Effectif détaillé)'!$O$42, 0), 0)+IF('Feuille saisie commune'!$F$47="Fosse stockage 1", IF('Feuille saisie commune'!$B$48="Truies et verrats", 'Porc (Effectif détaillé)'!$O$41+'Porc (Effectif détaillé)'!$O$42, 0), 0)+                                                                                                                                                IF('Feuille saisie commune'!$F$15="Fosse stockage 1", IF('Feuille saisie commune'!$C$15="Post-sevrage", 'Porc (Effectif détaillé)'!$O$43, 0), 0)+IF('Feuille saisie commune'!$F$16="Fosse stockage 1", IF('Feuille saisie commune'!$C$16="Post-sevrage", 'Porc (Effectif détaillé)'!$O$43, 0), 0)+IF('Feuille saisie commune'!$F$17="Fosse stockage 1", IF('Feuille saisie commune'!$C$17="Post-sevrage", 'Porc (Effectif détaillé)'!$O$43, 0), 0)+IF('Feuille saisie commune'!$F$47="Fosse stockage 1", IF('Feuille saisie commune'!$B$48="Post-sevrage", 'Porc (Effectif détaillé)'!$O$43, 0), 0)</f>
        <v>0</v>
      </c>
      <c r="E60" s="163">
        <f>IF('Feuille saisie commune'!$F$15="Fosse stockage 1", IF('Feuille saisie commune'!$C$15="Porcs charcutiers", 'Porc (Effectif détaillé)'!$R$50, 0), 0)+IF('Feuille saisie commune'!$F$16="Fosse stockage 1", IF('Feuille saisie commune'!$C$16="Porcs charcutiers", 'Porc (Effectif détaillé)'!$R$50, 0), 0)+IF('Feuille saisie commune'!$F$17="Fosse stockage 1", IF('Feuille saisie commune'!$C$17="Porcs charcutiers", 'Porc (Effectif détaillé)'!$R$50, 0), 0)+IF('Feuille saisie commune'!$F$47="Fosse stockage 1", IF('Feuille saisie commune'!$B$48="Porcs charcutiers", 'Porc (Effectif détaillé)'!$R$50, 0), 0)+                                                                                                                                                                                            IF('Feuille saisie commune'!$F$15="Fosse stockage 1", IF('Feuille saisie commune'!$C$15="Truies et verrats", 'Porc (Effectif détaillé)'!$R$51, 0), 0)+IF('Feuille saisie commune'!$F$16="Fosse stockage 1", IF('Feuille saisie commune'!$C$16="Truies et verrats", 'Porc (Effectif détaillé)'!$R$51, 0), 0)+IF('Feuille saisie commune'!$F$17="Fosse stockage 1", IF('Feuille saisie commune'!$C$17="Truies et verrats", 'Porc (Effectif détaillé)'!$R$51, 0), 0)+IF('Feuille saisie commune'!$F$47="Fosse stockage 1", IF('Feuille saisie commune'!$B$48="Truies et verrats", 'Porc (Effectif détaillé)'!$R$51, 0), 0)+                                                                                                                                                                                                                                               IF('Feuille saisie commune'!$F$15="Fosse stockage 1", IF('Feuille saisie commune'!$C$15="Post-sevrage", 'Porc (Effectif détaillé)'!$R$49, 0), 0)+IF('Feuille saisie commune'!$F$16="Fosse stockage 1", IF('Feuille saisie commune'!$C$16="Post-sevrage", 'Porc (Effectif détaillé)'!$R$49, 0), 0)+IF('Feuille saisie commune'!$F$17="Fosse stockage 1", IF('Feuille saisie commune'!$C$17="Post-sevrage", 'Porc (Effectif détaillé)'!$R$49, 0), 0)+IF('Feuille saisie commune'!$F$47="Fosse stockage 1", IF('Feuille saisie commune'!$B$48="Post-sevrage", 'Porc (Effectif détaillé)'!$R$49, 0), 0)</f>
        <v>0</v>
      </c>
      <c r="F60" s="163">
        <f>IF('Feuille saisie commune'!$F$15="Fosse stockage 1", IF('Feuille saisie commune'!$C$15="Porcs charcutiers", 'Porc (Effectif détaillé)'!$L$51+'Porc (Effectif détaillé)'!$L$52+'Porc (Effectif détaillé)'!$L$54*0.6, 0), 0)+IF('Feuille saisie commune'!$F$16="Fosse stockage 1", IF('Feuille saisie commune'!$C$16="Porcs charcutiers", 'Porc (Effectif détaillé)'!$L$51+'Porc (Effectif détaillé)'!$L$52+'Porc (Effectif détaillé)'!$L$54*0.6, 0), 0)+IF('Feuille saisie commune'!$F$17="Fosse stockage 1", IF('Feuille saisie commune'!$C$17="Porcs charcutiers", 'Porc (Effectif détaillé)'!$L$51+'Porc (Effectif détaillé)'!$L$52+'Porc (Effectif détaillé)'!$L$54*0.6, 0), 0)+IF('Feuille saisie commune'!$F$47="Fosse stockage 1", IF('Feuille saisie commune'!$B$48="Porcs charcutiers", 'Porc (Effectif détaillé)'!$L$51+'Porc (Effectif détaillé)'!$L$52+'Porc (Effectif détaillé)'!$L$54*0.6, 0), 0)+                                                                                                                                   IF('Feuille saisie commune'!$F$15="Fosse stockage 1", IF('Feuille saisie commune'!$C$15="Truies et verrats", 'Porc (Effectif détaillé)'!$L$49+'Porc (Effectif détaillé)'!$L$53+'Porc (Effectif détaillé)'!$L$54*0.4, 0), 0)+IF('Feuille saisie commune'!$F$16="Fosse stockage 1", IF('Feuille saisie commune'!$C$16="Truies et verrats", 'Porc (Effectif détaillé)'!$L$49+'Porc (Effectif détaillé)'!$L$53+'Porc (Effectif détaillé)'!$L$54*0.4, 0), 0)+IF('Feuille saisie commune'!$F$17="Fosse stockage 1", IF('Feuille saisie commune'!$C$17="Truies et verrats", 'Porc (Effectif détaillé)'!$I$49+'Porc (Effectif détaillé)'!$I$53+'Porc (Effectif détaillé)'!$I$54*0.4, 0), 0)+IF('Feuille saisie commune'!$F$47="Fosse stockage 1", IF('Feuille saisie commune'!$B$48="Truies et verrats", 'Porc (Effectif détaillé)'!$L$49+'Porc (Effectif détaillé)'!$L$53+'Porc (Effectif détaillé)'!$L$54*0.4, 0), 0)+                                                                                                                                                                                                              IF('Feuille saisie commune'!$F$15="Fosse stockage 1", IF('Feuille saisie commune'!$C$15="Post-sevrage", 'Porc (Effectif détaillé)'!$L$50, 0), 0)+IF('Feuille saisie commune'!$F$16="Fosse stockage 1", IF('Feuille saisie commune'!$C$16="Post-sevrage", 'Porc (Effectif détaillé)'!$L$50, 0), 0)+IF('Feuille saisie commune'!$F$17="Fosse stockage 1", IF('Feuille saisie commune'!$C$17="Post-sevrage", 'Porc (Effectif détaillé)'!$L$50, 0), 0)+IF('Feuille saisie commune'!$F$47="Fosse stockage 1", IF('Feuille saisie commune'!$B$48="Post-sevrage", 'Porc (Effectif détaillé)'!$L$50, 0), 0)</f>
        <v>0</v>
      </c>
      <c r="G60" s="152">
        <f t="shared" si="1"/>
        <v>0</v>
      </c>
      <c r="H60" s="153" t="s">
        <v>602</v>
      </c>
      <c r="I60" s="112"/>
    </row>
    <row r="61" spans="2:9" x14ac:dyDescent="0.25">
      <c r="B61" s="148" t="s">
        <v>596</v>
      </c>
      <c r="C61" s="154">
        <f>IF('Feuille saisie commune'!$F$15="Fosse stockage 1", IF('Feuille saisie commune'!$C$15="Porcs charcutiers", 'Porc (Effectif détaillé)'!$P$44, 0), 0)+IF('Feuille saisie commune'!$F$16="Fosse stockage 1", IF('Feuille saisie commune'!$C$16="Porcs charcutiers", 'Porc (Effectif détaillé)'!$P$44, 0), 0)+IF('Feuille saisie commune'!$F$17="Fosse stockage 1", IF('Feuille saisie commune'!$C$17="Porcs charcutiers", 'Porc (Effectif détaillé)'!$P$44, 0), 0)+IF('Feuille saisie commune'!$F$47="Fosse stockage 1", IF('Feuille saisie commune'!$B$48="Porcs charcutiers", 'Porc (Effectif détaillé)'!$P$44, 0), 0)+                                                                                                                                                                                              IF('Feuille saisie commune'!$F$15="Fosse stockage 1", IF('Feuille saisie commune'!$C$15="Truies et verrats", 'Porc (Effectif détaillé)'!$P$41+'Porc (Effectif détaillé)'!$P$42, 0), 0)+IF('Feuille saisie commune'!$F$16="Fosse stockage 1", IF('Feuille saisie commune'!$C$16="Truies et verrats", 'Porc (Effectif détaillé)'!$P$41+'Porc (Effectif détaillé)'!$P$42, 0), 0)+IF('Feuille saisie commune'!$F$17="Fosse stockage 1", IF('Feuille saisie commune'!$C$17="Truies et verrats", 'Porc (Effectif détaillé)'!$P$41+'Porc (Effectif détaillé)'!$P$42, 0), 0)+IF('Feuille saisie commune'!$F$47="Fosse stockage 1", IF('Feuille saisie commune'!$B$48="Truies et verrats", 'Porc (Effectif détaillé)'!$P$41+'Porc (Effectif détaillé)'!$P$42, 0), 0)+                                                                                                            IF('Feuille saisie commune'!$F$15="Fosse stockage 1", IF('Feuille saisie commune'!$C$15="Post-sevrage", 'Porc (Effectif détaillé)'!$P$43, 0), 0)+IF('Feuille saisie commune'!$F$16="Fosse stockage 1", IF('Feuille saisie commune'!$C$16="Post-sevrage", 'Porc (Effectif détaillé)'!$P$43, 0), 0)+IF('Feuille saisie commune'!$F$17="Fosse stockage 1", IF('Feuille saisie commune'!$C$17="Post-sevrage", 'Porc (Effectif détaillé)'!$P$43, 0), 0)+IF('Feuille saisie commune'!$F$47="Fosse stockage 1", IF('Feuille saisie commune'!$B$48="Post-sevrage", 'Porc (Effectif détaillé)'!$P$43, 0), 0)</f>
        <v>0</v>
      </c>
      <c r="D61" s="154">
        <f>IF('Feuille saisie commune'!$F$15="Fosse stockage 1", IF('Feuille saisie commune'!$C$15="Porcs charcutiers", 'Porc (Effectif détaillé)'!$Q$44, 0), 0)+IF('Feuille saisie commune'!$F$16="Fosse stockage 1", IF('Feuille saisie commune'!$C$16="Porcs charcutiers", 'Porc (Effectif détaillé)'!$Q$44, 0), 0)+IF('Feuille saisie commune'!$F$17="Fosse stockage 1", IF('Feuille saisie commune'!$C$17="Porcs charcutiers", 'Porc (Effectif détaillé)'!$Q$44, 0), 0)+IF('Feuille saisie commune'!$F$47="Fosse stockage 1", IF('Feuille saisie commune'!$B$48="Porcs charcutiers", 'Porc (Effectif détaillé)'!$Q$44, 0), 0)+                                                                                                                                                                                              IF('Feuille saisie commune'!$F$15="Fosse stockage 1", IF('Feuille saisie commune'!$C$15="Truies et verrats", 'Porc (Effectif détaillé)'!$Q$41+'Porc (Effectif détaillé)'!$Q$42, 0), 0)+IF('Feuille saisie commune'!$F$16="Fosse stockage 1", IF('Feuille saisie commune'!$C$16="Truies et verrats", 'Porc (Effectif détaillé)'!$Q$41+'Porc (Effectif détaillé)'!$Q$42, 0), 0)+IF('Feuille saisie commune'!$F$17="Fosse stockage 1", IF('Feuille saisie commune'!$C$17="Truies et verrats", 'Porc (Effectif détaillé)'!$Q$41+'Porc (Effectif détaillé)'!$Q$42, 0), 0)+IF('Feuille saisie commune'!$F$47="Fosse stockage 1", IF('Feuille saisie commune'!$B$48="Truies et verrats", 'Porc (Effectif détaillé)'!$Q$41+'Porc (Effectif détaillé)'!$Q$42, 0), 0)+                                                                                                                                               IF('Feuille saisie commune'!$F$15="Fosse stockage 1", IF('Feuille saisie commune'!$C$15="Post-sevrage", 'Porc (Effectif détaillé)'!$Q$43, 0), 0)+IF('Feuille saisie commune'!$F$16="Fosse stockage 1", IF('Feuille saisie commune'!$C$16="Post-sevrage", 'Porc (Effectif détaillé)'!$Q$43, 0), 0)+IF('Feuille saisie commune'!$F$17="Fosse stockage 1", IF('Feuille saisie commune'!$C$17="Post-sevrage", 'Porc (Effectif détaillé)'!$Q$43, 0), 0)+IF('Feuille saisie commune'!$F$47="Fosse stockage 1", IF('Feuille saisie commune'!$B$48="Post-sevrage", 'Porc (Effectif détaillé)'!$Q$43, 0), 0)</f>
        <v>0</v>
      </c>
      <c r="E61" s="166">
        <f>IF('Feuille saisie commune'!$F$15="Fosse stockage 1", IF('Feuille saisie commune'!$C$15="Porcs charcutiers", 'Porc (Effectif détaillé)'!$S$50, 0), 0)+IF('Feuille saisie commune'!$F$16="Fosse stockage 1", IF('Feuille saisie commune'!$C$16="Porcs charcutiers", 'Porc (Effectif détaillé)'!$S$50, 0), 0)+IF('Feuille saisie commune'!$F$17="Fosse stockage 1", IF('Feuille saisie commune'!$C$17="Porcs charcutiers", 'Porc (Effectif détaillé)'!$S$50, 0), 0)+IF('Feuille saisie commune'!$F$47="Fosse stockage 1", IF('Feuille saisie commune'!$B$48="Porcs charcutiers", 'Porc (Effectif détaillé)'!$S$50, 0), 0)+                                                                                                                                                                                            IF('Feuille saisie commune'!$F$15="Fosse stockage 1", IF('Feuille saisie commune'!$C$15="Truies et verrats", 'Porc (Effectif détaillé)'!$S$51, 0), 0)+IF('Feuille saisie commune'!$F$16="Fosse stockage 1", IF('Feuille saisie commune'!$C$16="Truies et verrats", 'Porc (Effectif détaillé)'!$S$51, 0), 0)+IF('Feuille saisie commune'!$F$17="Fosse stockage 1", IF('Feuille saisie commune'!$C$17="Truies et verrats", 'Porc (Effectif détaillé)'!$S$51, 0), 0)+IF('Feuille saisie commune'!$F$47="Fosse stockage 1", IF('Feuille saisie commune'!$B$48="Truies et verrats", 'Porc (Effectif détaillé)'!$S$51, 0), 0)+                                                                                                                                                                                                                                               IF('Feuille saisie commune'!$F$15="Fosse stockage 1", IF('Feuille saisie commune'!$C$15="Post-sevrage", 'Porc (Effectif détaillé)'!$S$49, 0), 0)+IF('Feuille saisie commune'!$F$16="Fosse stockage 1", IF('Feuille saisie commune'!$C$16="Post-sevrage", 'Porc (Effectif détaillé)'!$S$49, 0), 0)+IF('Feuille saisie commune'!$F$17="Fosse stockage 1", IF('Feuille saisie commune'!$C$17="Post-sevrage", 'Porc (Effectif détaillé)'!$S$49, 0), 0)+IF('Feuille saisie commune'!$F$47="Fosse stockage 1", IF('Feuille saisie commune'!$B$48="Post-sevrage", 'Porc (Effectif détaillé)'!$S$49, 0), 0)</f>
        <v>0</v>
      </c>
      <c r="F61" s="166">
        <f>IF('Feuille saisie commune'!$F$15="Fosse stockage 1", IF('Feuille saisie commune'!$C$15="Porcs charcutiers", 'Porc (Effectif détaillé)'!$M$51+'Porc (Effectif détaillé)'!$M$52+'Porc (Effectif détaillé)'!$M$54*0.6, 0), 0)+IF('Feuille saisie commune'!$F$16="Fosse stockage 1", IF('Feuille saisie commune'!$C$16="Porcs charcutiers", 'Porc (Effectif détaillé)'!$M$51+'Porc (Effectif détaillé)'!$M$52+'Porc (Effectif détaillé)'!$M$54*0.6, 0), 0)+IF('Feuille saisie commune'!$F$17="Fosse stockage 1", IF('Feuille saisie commune'!$C$17="Porcs charcutiers", 'Porc (Effectif détaillé)'!$M$51+'Porc (Effectif détaillé)'!$M$52+'Porc (Effectif détaillé)'!$M$54*0.6, 0), 0)+IF('Feuille saisie commune'!$F$47="Fosse stockage 1", IF('Feuille saisie commune'!$B$48="Porcs charcutiers", 'Porc (Effectif détaillé)'!$M$51+'Porc (Effectif détaillé)'!$M$52+'Porc (Effectif détaillé)'!$M$54*0.6, 0), 0)+                                                                                                                                   IF('Feuille saisie commune'!$F$15="Fosse stockage 1", IF('Feuille saisie commune'!$C$15="Truies et verrats", 'Porc (Effectif détaillé)'!$M$49+'Porc (Effectif détaillé)'!$M$53+'Porc (Effectif détaillé)'!$M$54*0.4, 0), 0)+IF('Feuille saisie commune'!$F$16="Fosse stockage 1", IF('Feuille saisie commune'!$C$16="Truies et verrats", 'Porc (Effectif détaillé)'!$M$49+'Porc (Effectif détaillé)'!$M$53+'Porc (Effectif détaillé)'!$M$54*0.4, 0), 0)+IF('Feuille saisie commune'!$F$17="Fosse stockage 1", IF('Feuille saisie commune'!$C$17="Truies et verrats", 'Porc (Effectif détaillé)'!$M$49+'Porc (Effectif détaillé)'!$M$53+'Porc (Effectif détaillé)'!$M$54*0.4, 0), 0)+IF('Feuille saisie commune'!$F$47="Fosse stockage 1", IF('Feuille saisie commune'!$B$48="Truies et verrats", 'Porc (Effectif détaillé)'!$M$49+'Porc (Effectif détaillé)'!$M$53+'Porc (Effectif détaillé)'!$M$54*0.4, 0), 0)+                                                                                                                                                                                                              IF('Feuille saisie commune'!$F$15="Fosse stockage 1", IF('Feuille saisie commune'!$C$15="Post-sevrage", 'Porc (Effectif détaillé)'!$M$50, 0), 0)+IF('Feuille saisie commune'!$F$16="Fosse stockage 1", IF('Feuille saisie commune'!$C$16="Post-sevrage", 'Porc (Effectif détaillé)'!$M$50, 0), 0)+IF('Feuille saisie commune'!$F$17="Fosse stockage 1", IF('Feuille saisie commune'!$C$17="Post-sevrage", 'Porc (Effectif détaillé)'!$M$50, 0), 0)+IF('Feuille saisie commune'!$F$47="Fosse stockage 1", IF('Feuille saisie commune'!$B$48="Post-sevrage", 'Porc (Effectif détaillé)'!$M$50, 0), 0)</f>
        <v>0</v>
      </c>
      <c r="G61" s="152">
        <f t="shared" si="1"/>
        <v>0</v>
      </c>
      <c r="H61" s="153"/>
      <c r="I61" s="112"/>
    </row>
    <row r="62" spans="2:9" x14ac:dyDescent="0.25">
      <c r="B62" s="155" t="s">
        <v>597</v>
      </c>
      <c r="C62" s="156">
        <f>IF('Feuille saisie commune'!$F$15="Fosse stockage 1", IF('Feuille saisie commune'!$C$15="Porcs charcutiers", 'Porc (Effectif détaillé)'!$R$44, 0), 0)+IF('Feuille saisie commune'!$F$16="Fosse stockage 1", IF('Feuille saisie commune'!$C$16="Porcs charcutiers", 'Porc (Effectif détaillé)'!$R$44, 0), 0)+IF('Feuille saisie commune'!$F$17="Fosse stockage 1", IF('Feuille saisie commune'!$C$17="Porcs charcutiers", 'Porc (Effectif détaillé)'!$R$44, 0), 0)+IF('Feuille saisie commune'!$F$47="Fosse stockage 1", IF('Feuille saisie commune'!$B$48="Porcs charcutiers", 'Porc (Effectif détaillé)'!$R$44, 0), 0) +                                                                                                                                                                                            IF('Feuille saisie commune'!$F$15="Fosse stockage 1", IF('Feuille saisie commune'!$C$15="Truies et verrats", 'Porc (Effectif détaillé)'!$R$41+'Porc (Effectif détaillé)'!$R$42, 0), 0)+IF('Feuille saisie commune'!$F$16="Fosse stockage 1", IF('Feuille saisie commune'!$C$16="Truies et verrats", 'Porc (Effectif détaillé)'!$R$41+'Porc (Effectif détaillé)'!$R$42, 0), 0)+IF('Feuille saisie commune'!$F$17="Fosse stockage 1", IF('Feuille saisie commune'!$C$17="Truies et verrats", 'Porc (Effectif détaillé)'!$R$41+'Porc (Effectif détaillé)'!$R$42, 0), 0)+IF('Feuille saisie commune'!$F$47="Fosse stockage 1", IF('Feuille saisie commune'!$B$48="Truies et verrats", 'Porc (Effectif détaillé)'!$R$41+'Porc (Effectif détaillé)'!$R$42, 0), 0)+                                                                                                            IF('Feuille saisie commune'!$F$15="Fosse stockage 1", IF('Feuille saisie commune'!$C$15="Post-sevrage", 'Porc (Effectif détaillé)'!$R$43, 0), 0)+IF('Feuille saisie commune'!$F$16="Fosse stockage 1", IF('Feuille saisie commune'!$C$16="Post-sevrage", 'Porc (Effectif détaillé)'!$R$43, 0), 0)+IF('Feuille saisie commune'!$F$17="Fosse stockage 1", IF('Feuille saisie commune'!$C$17="Post-sevrage", 'Porc (Effectif détaillé)'!$R$43, 0), 0)+IF('Feuille saisie commune'!$F$47="Fosse stockage 1", IF('Feuille saisie commune'!$B$48="Post-sevrage", 'Porc (Effectif détaillé)'!$R$43, 0), 0)</f>
        <v>0</v>
      </c>
      <c r="D62" s="156">
        <f>IF('Feuille saisie commune'!$F$15="Fosse stockage 1", IF('Feuille saisie commune'!$C$15="Porcs charcutiers", 'Porc (Effectif détaillé)'!$S$44, 0), 0)+IF('Feuille saisie commune'!$F$16="Fosse stockage 1", IF('Feuille saisie commune'!$C$16="Porcs charcutiers", 'Porc (Effectif détaillé)'!$S$44, 0), 0)+IF('Feuille saisie commune'!$F$17="Fosse stockage 1", IF('Feuille saisie commune'!$C$17="Porcs charcutiers", 'Porc (Effectif détaillé)'!$S$44, 0), 0)+IF('Feuille saisie commune'!$F$47="Fosse stockage 1", IF('Feuille saisie commune'!$B$48="Porcs charcutiers", 'Porc (Effectif détaillé)'!$S$44, 0), 0)+                                                                                                                                                                                               IF('Feuille saisie commune'!$F$15="Fosse stockage 1", IF('Feuille saisie commune'!$C$15="Truies et verrats", 'Porc (Effectif détaillé)'!$S$41+'Porc (Effectif détaillé)'!$S$42, 0), 0)+IF('Feuille saisie commune'!$F$16="Fosse stockage 1", IF('Feuille saisie commune'!$C$16="Truies et verrats", 'Porc (Effectif détaillé)'!$S$41+'Porc (Effectif détaillé)'!$S$42, 0), 0)+IF('Feuille saisie commune'!$F$17="Fosse stockage 1", IF('Feuille saisie commune'!$C$17="Truies et verrats", 'Porc (Effectif détaillé)'!$S$41+'Porc (Effectif détaillé)'!$S$42, 0), 0)+IF('Feuille saisie commune'!$F$47="Fosse stockage 1", IF('Feuille saisie commune'!$B$48="Truies et verrats", 'Porc (Effectif détaillé)'!$S$41+'Porc (Effectif détaillé)'!$S$42, 0), 0)+                                                                                                           IF('Feuille saisie commune'!$F$15="Fosse stockage 1", IF('Feuille saisie commune'!$C$15="Post-sevrage", 'Porc (Effectif détaillé)'!$S$43, 0), 0)+IF('Feuille saisie commune'!$F$16="Fosse stockage 1", IF('Feuille saisie commune'!$C$16="Post-sevrage", 'Porc (Effectif détaillé)'!$S$43, 0), 0)+IF('Feuille saisie commune'!$F$17="Fosse stockage 1", IF('Feuille saisie commune'!$C$17="Post-sevrage", 'Porc (Effectif détaillé)'!$S$43, 0), 0)+IF('Feuille saisie commune'!$F$47="Fosse stockage 1", IF('Feuille saisie commune'!$B$48="Post-sevrage", 'Porc (Effectif détaillé)'!$S$43, 0), 0)</f>
        <v>0</v>
      </c>
      <c r="E62" s="167">
        <f>IF('Feuille saisie commune'!$F$15="Fosse stockage 1", IF('Feuille saisie commune'!$C$15="Porcs charcutiers", 'Porc (Effectif détaillé)'!$T$50, 0), 0)+IF('Feuille saisie commune'!$F$16="Fosse stockage 1", IF('Feuille saisie commune'!$C$16="Porcs charcutiers", 'Porc (Effectif détaillé)'!$T$50, 0), 0)+IF('Feuille saisie commune'!$F$17="Fosse stockage 1", IF('Feuille saisie commune'!$C$17="Porcs charcutiers", 'Porc (Effectif détaillé)'!$T$50, 0), 0)+IF('Feuille saisie commune'!$F$47="Fosse stockage 1", IF('Feuille saisie commune'!$B$48="Porcs charcutiers", 'Porc (Effectif détaillé)'!$T$50, 0), 0)+                                                                                                                                                                                            IF('Feuille saisie commune'!$F$15="Fosse stockage 1", IF('Feuille saisie commune'!$C$15="Truies et verrats", 'Porc (Effectif détaillé)'!$T$51, 0), 0)+IF('Feuille saisie commune'!$F$16="Fosse stockage 1", IF('Feuille saisie commune'!$C$16="Truies et verrats", 'Porc (Effectif détaillé)'!$T$51, 0), 0)+IF('Feuille saisie commune'!$F$17="Fosse stockage 1", IF('Feuille saisie commune'!$C$17="Truies et verrats", 'Porc (Effectif détaillé)'!$T$51, 0), 0)+IF('Feuille saisie commune'!$F$47="Fosse stockage 1", IF('Feuille saisie commune'!$B$48="Truies et verrats", 'Porc (Effectif détaillé)'!$T$51, 0), 0)+                                                                                                                                                                                                                                               IF('Feuille saisie commune'!$F$15="Fosse stockage 1", IF('Feuille saisie commune'!$C$15="Post-sevrage", 'Porc (Effectif détaillé)'!$T$49, 0), 0)+IF('Feuille saisie commune'!$F$16="Fosse stockage 1", IF('Feuille saisie commune'!$C$16="Post-sevrage", 'Porc (Effectif détaillé)'!$T$49, 0), 0)+IF('Feuille saisie commune'!$F$17="Fosse stockage 1", IF('Feuille saisie commune'!$C$17="Post-sevrage", 'Porc (Effectif détaillé)'!$T$49, 0), 0)+IF('Feuille saisie commune'!$F$47="Fosse stockage 1", IF('Feuille saisie commune'!$B$48="Post-sevrage", 'Porc (Effectif détaillé)'!$T$49, 0), 0)</f>
        <v>0</v>
      </c>
      <c r="F62" s="167">
        <f>IF('Feuille saisie commune'!$F$15="Fosse stockage 1", IF('Feuille saisie commune'!$C$15="Porcs charcutiers", 'Porc (Effectif détaillé)'!$N$51+'Porc (Effectif détaillé)'!$N$52+'Porc (Effectif détaillé)'!$N$54*0.6, 0), 0)+IF('Feuille saisie commune'!$F$16="Fosse stockage 1", IF('Feuille saisie commune'!$C$16="Porcs charcutiers", 'Porc (Effectif détaillé)'!$N$51+'Porc (Effectif détaillé)'!$N$52+'Porc (Effectif détaillé)'!$N$54*0.6, 0), 0)+IF('Feuille saisie commune'!$F$17="Fosse stockage 1", IF('Feuille saisie commune'!$C$17="Porcs charcutiers", 'Porc (Effectif détaillé)'!$N$51+'Porc (Effectif détaillé)'!$N$52+'Porc (Effectif détaillé)'!$N$54*0.6, 0), 0)+IF('Feuille saisie commune'!$F$47="Fosse stockage 1", IF('Feuille saisie commune'!$B$48="Porcs charcutiers", 'Porc (Effectif détaillé)'!$N$51+'Porc (Effectif détaillé)'!$N$52+'Porc (Effectif détaillé)'!$N$54*0.6, 0), 0)+                                                                                                                                   IF('Feuille saisie commune'!$F$15="Fosse stockage 1", IF('Feuille saisie commune'!$C$15="Truies et verrats", 'Porc (Effectif détaillé)'!$N$49+'Porc (Effectif détaillé)'!$N$53+'Porc (Effectif détaillé)'!$N$54*0.4, 0), 0)+IF('Feuille saisie commune'!$F$16="Fosse stockage 1", IF('Feuille saisie commune'!$C$16="Truies et verrats", 'Porc (Effectif détaillé)'!$N$49+'Porc (Effectif détaillé)'!$N$53+'Porc (Effectif détaillé)'!$N$54*0.4, 0), 0)+IF('Feuille saisie commune'!$F$17="Fosse stockage 1", IF('Feuille saisie commune'!$C$17="Truies et verrats", 'Porc (Effectif détaillé)'!$N$49+'Porc (Effectif détaillé)'!$N$53+'Porc (Effectif détaillé)'!$N$54*0.4, 0), 0)+IF('Feuille saisie commune'!$F$47="Fosse stockage 1", IF('Feuille saisie commune'!$B$48="Truies et verrats", 'Porc (Effectif détaillé)'!$N$49+'Porc (Effectif détaillé)'!$N$53+'Porc (Effectif détaillé)'!$N$54*0.4, 0), 0)+                                                                                                                                                                                                              IF('Feuille saisie commune'!$F$15="Fosse stockage 1", IF('Feuille saisie commune'!$C$15="Post-sevrage", 'Porc (Effectif détaillé)'!$N$50, 0), 0)+IF('Feuille saisie commune'!$F$16="Fosse stockage 1", IF('Feuille saisie commune'!$C$16="Post-sevrage", 'Porc (Effectif détaillé)'!$N$50, 0), 0)+IF('Feuille saisie commune'!$F$17="Fosse stockage 1", IF('Feuille saisie commune'!$C$17="Post-sevrage", 'Porc (Effectif détaillé)'!$N$50, 0), 0)+IF('Feuille saisie commune'!$F$47="Fosse stockage 1", IF('Feuille saisie commune'!$B$48="Post-sevrage", 'Porc (Effectif détaillé)'!$N$50, 0), 0)</f>
        <v>0</v>
      </c>
      <c r="G62" s="170">
        <f t="shared" si="1"/>
        <v>0</v>
      </c>
      <c r="H62" s="158"/>
      <c r="I62" s="12"/>
    </row>
    <row r="63" spans="2:9" x14ac:dyDescent="0.25">
      <c r="B63" s="147" t="s">
        <v>603</v>
      </c>
      <c r="C63" s="148"/>
      <c r="D63" s="148"/>
      <c r="E63" s="148"/>
      <c r="F63" s="148"/>
      <c r="G63" s="149"/>
      <c r="H63" s="150"/>
      <c r="I63" s="12"/>
    </row>
    <row r="64" spans="2:9" x14ac:dyDescent="0.25">
      <c r="B64" s="148" t="s">
        <v>589</v>
      </c>
      <c r="C64" s="110" t="s">
        <v>50</v>
      </c>
      <c r="D64" s="110" t="s">
        <v>50</v>
      </c>
      <c r="E64" s="151"/>
      <c r="F64" s="110" t="s">
        <v>50</v>
      </c>
      <c r="G64" s="152">
        <f>+E64</f>
        <v>0</v>
      </c>
      <c r="H64" s="150"/>
      <c r="I64" s="12"/>
    </row>
    <row r="65" spans="1:13" x14ac:dyDescent="0.25">
      <c r="B65" s="148" t="s">
        <v>590</v>
      </c>
      <c r="C65" s="110" t="s">
        <v>50</v>
      </c>
      <c r="D65" s="110" t="s">
        <v>50</v>
      </c>
      <c r="E65" s="151">
        <v>0</v>
      </c>
      <c r="F65" s="110" t="s">
        <v>50</v>
      </c>
      <c r="G65" s="152">
        <f>+E65</f>
        <v>0</v>
      </c>
      <c r="H65" s="153" t="s">
        <v>591</v>
      </c>
      <c r="I65" s="12"/>
    </row>
    <row r="66" spans="1:13" x14ac:dyDescent="0.25">
      <c r="B66" s="148" t="s">
        <v>592</v>
      </c>
      <c r="C66" s="110" t="s">
        <v>50</v>
      </c>
      <c r="D66" s="110" t="s">
        <v>50</v>
      </c>
      <c r="E66" s="151">
        <v>0</v>
      </c>
      <c r="F66" s="110" t="s">
        <v>50</v>
      </c>
      <c r="G66" s="152">
        <f>+E66</f>
        <v>0</v>
      </c>
      <c r="H66" s="153" t="s">
        <v>593</v>
      </c>
      <c r="I66" s="12"/>
    </row>
    <row r="67" spans="1:13" x14ac:dyDescent="0.25">
      <c r="B67" s="155" t="s">
        <v>594</v>
      </c>
      <c r="C67" s="168" t="s">
        <v>50</v>
      </c>
      <c r="D67" s="168" t="s">
        <v>50</v>
      </c>
      <c r="E67" s="169">
        <v>0</v>
      </c>
      <c r="F67" s="168" t="s">
        <v>50</v>
      </c>
      <c r="G67" s="170">
        <f>+E67</f>
        <v>0</v>
      </c>
      <c r="H67" s="158" t="s">
        <v>595</v>
      </c>
      <c r="I67" s="12"/>
    </row>
    <row r="68" spans="1:13" x14ac:dyDescent="0.25">
      <c r="C68" s="12"/>
      <c r="D68" s="12"/>
      <c r="E68" s="12"/>
      <c r="F68" s="12"/>
      <c r="G68" s="12"/>
      <c r="H68" s="12"/>
      <c r="I68" s="12"/>
    </row>
    <row r="70" spans="1:13" x14ac:dyDescent="0.25">
      <c r="A70" s="186" t="s">
        <v>636</v>
      </c>
    </row>
    <row r="71" spans="1:13" x14ac:dyDescent="0.25">
      <c r="B71" s="99"/>
      <c r="C71" s="111"/>
      <c r="D71" s="111"/>
      <c r="E71" s="112"/>
      <c r="F71" s="112"/>
      <c r="G71" s="1143" t="s">
        <v>564</v>
      </c>
      <c r="H71" s="1144"/>
      <c r="I71" s="12"/>
    </row>
    <row r="72" spans="1:13" x14ac:dyDescent="0.25">
      <c r="B72" s="99"/>
      <c r="C72" s="111"/>
      <c r="D72" s="111"/>
      <c r="E72" s="116"/>
      <c r="F72" s="117"/>
      <c r="G72" s="1145" t="s">
        <v>565</v>
      </c>
      <c r="H72" s="1146"/>
      <c r="I72" s="12"/>
      <c r="K72" s="12"/>
      <c r="L72" s="12"/>
      <c r="M72" s="12"/>
    </row>
    <row r="73" spans="1:13" x14ac:dyDescent="0.25">
      <c r="B73" s="99"/>
      <c r="C73" s="111"/>
      <c r="D73" s="111"/>
      <c r="E73" s="118" t="s">
        <v>930</v>
      </c>
      <c r="F73" s="118"/>
      <c r="G73" s="1153">
        <f>I327</f>
        <v>28.75</v>
      </c>
      <c r="H73" s="1154"/>
      <c r="I73" s="12"/>
      <c r="K73" s="12"/>
      <c r="L73" s="12"/>
      <c r="M73" s="12"/>
    </row>
    <row r="74" spans="1:13" x14ac:dyDescent="0.25">
      <c r="B74" s="99"/>
      <c r="C74" s="111"/>
      <c r="D74" s="111"/>
      <c r="E74" s="114"/>
      <c r="F74" s="114"/>
      <c r="G74" s="184"/>
      <c r="H74" s="184"/>
      <c r="I74" s="185"/>
      <c r="J74" s="12"/>
    </row>
    <row r="75" spans="1:13" x14ac:dyDescent="0.25">
      <c r="B75" s="100"/>
      <c r="C75" s="111"/>
      <c r="D75" s="111"/>
      <c r="E75" s="111"/>
      <c r="F75" s="111"/>
      <c r="G75" s="111"/>
      <c r="H75" s="111"/>
      <c r="I75" s="112"/>
    </row>
    <row r="76" spans="1:13" x14ac:dyDescent="0.25">
      <c r="B76" s="101" t="s">
        <v>566</v>
      </c>
      <c r="C76" s="119" t="s">
        <v>567</v>
      </c>
      <c r="D76" s="1149" t="s">
        <v>568</v>
      </c>
      <c r="E76" s="1150"/>
      <c r="F76" s="1149" t="s">
        <v>569</v>
      </c>
      <c r="G76" s="1150"/>
      <c r="H76" s="119" t="s">
        <v>570</v>
      </c>
      <c r="I76" s="120" t="s">
        <v>571</v>
      </c>
    </row>
    <row r="77" spans="1:13" x14ac:dyDescent="0.25">
      <c r="B77" s="121"/>
      <c r="C77" s="122" t="s">
        <v>17</v>
      </c>
      <c r="D77" s="206" t="s">
        <v>560</v>
      </c>
      <c r="E77" s="207" t="s">
        <v>572</v>
      </c>
      <c r="F77" s="206" t="s">
        <v>561</v>
      </c>
      <c r="G77" s="207" t="s">
        <v>573</v>
      </c>
      <c r="H77" s="122" t="s">
        <v>17</v>
      </c>
      <c r="I77" s="207" t="s">
        <v>17</v>
      </c>
    </row>
    <row r="78" spans="1:13" x14ac:dyDescent="0.25">
      <c r="B78" s="125" t="s">
        <v>574</v>
      </c>
      <c r="C78" s="126">
        <f>G90</f>
        <v>5568</v>
      </c>
      <c r="D78" s="127">
        <f>G91</f>
        <v>1248</v>
      </c>
      <c r="E78" s="128" t="s">
        <v>50</v>
      </c>
      <c r="F78" s="126">
        <f>+E92</f>
        <v>0</v>
      </c>
      <c r="G78" s="129" t="s">
        <v>50</v>
      </c>
      <c r="H78" s="130" t="str">
        <f>IF(+G93&gt;0,G93,"-")</f>
        <v>-</v>
      </c>
      <c r="I78" s="131" t="str">
        <f>IF(+G94&gt;0,G94,"-")</f>
        <v>-</v>
      </c>
    </row>
    <row r="79" spans="1:13" x14ac:dyDescent="0.25">
      <c r="B79" s="132" t="s">
        <v>575</v>
      </c>
      <c r="C79" s="133">
        <v>0</v>
      </c>
      <c r="D79" s="134">
        <v>0</v>
      </c>
      <c r="E79" s="135"/>
      <c r="F79" s="133">
        <v>0</v>
      </c>
      <c r="G79" s="136" t="s">
        <v>50</v>
      </c>
      <c r="H79" s="136" t="s">
        <v>50</v>
      </c>
      <c r="I79" s="136" t="s">
        <v>50</v>
      </c>
    </row>
    <row r="80" spans="1:13" x14ac:dyDescent="0.25">
      <c r="B80" s="132" t="s">
        <v>576</v>
      </c>
      <c r="C80" s="133">
        <f>+D97-C97</f>
        <v>0</v>
      </c>
      <c r="D80" s="134">
        <f>+D98-C98</f>
        <v>0</v>
      </c>
      <c r="E80" s="135" t="s">
        <v>50</v>
      </c>
      <c r="F80" s="133">
        <f>+D99-C99</f>
        <v>0</v>
      </c>
      <c r="G80" s="136" t="s">
        <v>50</v>
      </c>
      <c r="H80" s="130" t="str">
        <f>IF(H78&lt;&gt;"-",+D100-C100,H78)</f>
        <v>-</v>
      </c>
      <c r="I80" s="131" t="str">
        <f>IF(I78&lt;&gt;"-",+D101-C101,I78)</f>
        <v>-</v>
      </c>
    </row>
    <row r="81" spans="2:9" x14ac:dyDescent="0.25">
      <c r="B81" s="132" t="s">
        <v>577</v>
      </c>
      <c r="C81" s="133">
        <f>+F97-E97</f>
        <v>0</v>
      </c>
      <c r="D81" s="134">
        <f>+F98-E98</f>
        <v>0</v>
      </c>
      <c r="E81" s="135" t="s">
        <v>50</v>
      </c>
      <c r="F81" s="133">
        <f>+F99-E99</f>
        <v>0</v>
      </c>
      <c r="G81" s="136" t="s">
        <v>50</v>
      </c>
      <c r="H81" s="137" t="str">
        <f>IF(H78&lt;&gt;"-",F100-E100,H78)</f>
        <v>-</v>
      </c>
      <c r="I81" s="138" t="str">
        <f>IF(I78&lt;&gt;"-",F101-E101,"-")</f>
        <v>-</v>
      </c>
    </row>
    <row r="82" spans="2:9" x14ac:dyDescent="0.25">
      <c r="B82" s="132" t="s">
        <v>578</v>
      </c>
      <c r="C82" s="133">
        <f>C78-C80-C81</f>
        <v>5568</v>
      </c>
      <c r="D82" s="134">
        <f>D78-D80-D81</f>
        <v>1248</v>
      </c>
      <c r="E82" s="139">
        <f>(30.97376*2+15.9994*5)/(30.97376*2)*D82</f>
        <v>2859.626357277903</v>
      </c>
      <c r="F82" s="134">
        <f>F78-F80-F81</f>
        <v>0</v>
      </c>
      <c r="G82" s="139">
        <f>+F82*1.2</f>
        <v>0</v>
      </c>
      <c r="H82" s="130" t="str">
        <f>IF(H78&lt;&gt;"-",H78-H80-H81,H78)</f>
        <v>-</v>
      </c>
      <c r="I82" s="140" t="str">
        <f>IF(I78&lt;&gt;"-",I78-I80-I81,I78)</f>
        <v>-</v>
      </c>
    </row>
    <row r="83" spans="2:9" x14ac:dyDescent="0.25">
      <c r="B83" s="141" t="s">
        <v>579</v>
      </c>
      <c r="C83" s="142">
        <f>C82*G73/100</f>
        <v>1600.8</v>
      </c>
      <c r="D83" s="134" t="s">
        <v>580</v>
      </c>
      <c r="E83" s="143" t="s">
        <v>580</v>
      </c>
      <c r="F83" s="134" t="s">
        <v>580</v>
      </c>
      <c r="G83" s="143" t="s">
        <v>580</v>
      </c>
      <c r="H83" s="130" t="s">
        <v>580</v>
      </c>
      <c r="I83" s="130" t="s">
        <v>580</v>
      </c>
    </row>
    <row r="84" spans="2:9" x14ac:dyDescent="0.25">
      <c r="B84" s="144" t="s">
        <v>581</v>
      </c>
      <c r="C84" s="187">
        <f>IF('Porc (Aliments)'!$E$2="Méthode du BRS",C82+C79-C83,0)+ IF('Porc (Aliments)'!$E$2="Alimentation standard",'Porc (Effectif détaillé)'!L65,0)+IF('Porc (Aliments)'!$E$2="Alimentation biphase",'Porc (Effectif détaillé)'!L72,0)</f>
        <v>2906.9999999999995</v>
      </c>
      <c r="D84" s="145">
        <f>D78+D79-D80-D81</f>
        <v>1248</v>
      </c>
      <c r="E84" s="188">
        <f>IF('Porc (Aliments)'!$E$2="Méthode du BRS",(30.97376*2+15.9994*5)/(30.97376*2)*D84,0)+IF('Porc (Aliments)'!$E$2="Alimentation standard",'Porc (Effectif détaillé)'!M65,0)+IF('Porc (Aliments)'!$E$2="Alimentation biphase",'Porc (Effectif détaillé)'!M72,0)</f>
        <v>2200</v>
      </c>
      <c r="F84" s="145">
        <f>F78+F79-F80-F81</f>
        <v>0</v>
      </c>
      <c r="G84" s="189">
        <f>IF('Porc (Aliments)'!$E$2="Méthode du BRS",F84*1.2,0)+IF('Porc (Aliments)'!$E$2="Alimentation standard",'Porc (Effectif détaillé)'!N65,0)+IF('Porc (Aliments)'!$E$2="Alimentation biphase",'Porc (Effectif détaillé)'!N72,0)</f>
        <v>1920</v>
      </c>
      <c r="H84" s="190">
        <f>IF('Porc (Aliments)'!$E$2="Méthode du BRS",H82,(IF(Param_porcs!$G$16=21,('Porc (Effectif détaillé)'!$D$41+'Porc (Effectif détaillé)'!$C$41+'Porc (Effectif détaillé)'!$C$42+'Porc (Effectif détaillé)'!$D$42)/2*18.24,0)+IF(Param_porcs!$G$16=22,('Porc (Effectif détaillé)'!$D$44-'Porc (Effectif détaillé)'!$C$44+'Porc (Effectif détaillé)'!$C$51+'Porc (Effectif détaillé)'!$C$52)*4.17,0)+IF(Param_porcs!$G$16=23,('Porc (Effectif détaillé)'!$D$43-'Porc (Effectif détaillé)'!$C$43+'Porc (Effectif détaillé)'!$C$50+'Porc (Effectif détaillé)'!$C$51+'Porc (Effectif détaillé)'!$C$52)*6.04,0)+IF(Param_porcs!$G$17=21,('Porc (Effectif détaillé)'!$D$41+'Porc (Effectif détaillé)'!$C$41+'Porc (Effectif détaillé)'!$C$42+'Porc (Effectif détaillé)'!$D$42)/2*18.24,0)+IF(Param_porcs!$G$17=22,('Porc (Effectif détaillé)'!$D$44-'Porc (Effectif détaillé)'!$C$44+'Porc (Effectif détaillé)'!$C$51+'Porc (Effectif détaillé)'!$C$52)*4.17,0)+IF(Param_porcs!$G$17=23,('Porc (Effectif détaillé)'!$D$43-'Porc (Effectif détaillé)'!$C$43+'Porc (Effectif détaillé)'!$C$50+'Porc (Effectif détaillé)'!$C$51+'Porc (Effectif détaillé)'!$C$52)*6.04,0)+IF(Param_porcs!$G$18=21,('Porc (Effectif détaillé)'!$D$41+'Porc (Effectif détaillé)'!$C$41+'Porc (Effectif détaillé)'!$C$42+'Porc (Effectif détaillé)'!$D$42)/2*18.24,0)+IF(Param_porcs!$G$18=22,('Porc (Effectif détaillé)'!$D$44-'Porc (Effectif détaillé)'!$C$44+'Porc (Effectif détaillé)'!$C$51+'Porc (Effectif détaillé)'!$C$52)*4.17,0)+IF(Param_porcs!$G$18=23,('Porc (Effectif détaillé)'!$D$43-'Porc (Effectif détaillé)'!$C$43+'Porc (Effectif détaillé)'!$C$50+'Porc (Effectif détaillé)'!$C$51+'Porc (Effectif détaillé)'!$C$52)*6.04,0)+IF(Param_porcs!$G$19=21,('Porc (Effectif détaillé)'!$D$41+'Porc (Effectif détaillé)'!$C$41+'Porc (Effectif détaillé)'!$C$42+'Porc (Effectif détaillé)'!$D$42)/2*18.24,0)+IF(Param_porcs!$G$19=22,('Porc (Effectif détaillé)'!$D$44-'Porc (Effectif détaillé)'!$C$44+'Porc (Effectif détaillé)'!$C$51+'Porc (Effectif détaillé)'!$C$52)*4.17,0)+IF(Param_porcs!$G$19=23,('Porc (Effectif détaillé)'!$D$43-'Porc (Effectif détaillé)'!$C$43+'Porc (Effectif détaillé)'!$C$50+'Porc (Effectif détaillé)'!$C$51+'Porc (Effectif détaillé)'!$C$52)*6.04,0))/1000)</f>
        <v>3.6479999999999997</v>
      </c>
      <c r="I84" s="191">
        <f>IF('Porc (Aliments)'!$E$2="Méthode du BRS",I82,(IF(Param_porcs!$G$16=21,('Porc (Effectif détaillé)'!$D$41+'Porc (Effectif détaillé)'!$C$41+'Porc (Effectif détaillé)'!$C$42+'Porc (Effectif détaillé)'!$D$42)/2*138,0)+IF(Param_porcs!$G$16=22,('Porc (Effectif détaillé)'!$D$44-'Porc (Effectif détaillé)'!$C$44+'Porc (Effectif détaillé)'!$C$51+'Porc (Effectif détaillé)'!$C$52)*22.42,0)+IF(Param_porcs!$G$16=23,('Porc (Effectif détaillé)'!$D$43-'Porc (Effectif détaillé)'!$C$43+'Porc (Effectif détaillé)'!$C$50+'Porc (Effectif détaillé)'!$C$51+'Porc (Effectif détaillé)'!$C$52)*4.92,0)+IF(Param_porcs!$G$17=21,('Porc (Effectif détaillé)'!$D$41+'Porc (Effectif détaillé)'!$C$41+'Porc (Effectif détaillé)'!$C$42+'Porc (Effectif détaillé)'!$D$42)/2*138,0)+IF(Param_porcs!$G$17=22,('Porc (Effectif détaillé)'!$D$44-'Porc (Effectif détaillé)'!$C$44+'Porc (Effectif détaillé)'!$C$51+'Porc (Effectif détaillé)'!$C$52)*22.42,0)+IF(Param_porcs!$G$17=23,('Porc (Effectif détaillé)'!$D$43-'Porc (Effectif détaillé)'!$C$43+'Porc (Effectif détaillé)'!$C$50+'Porc (Effectif détaillé)'!$C$51+'Porc (Effectif détaillé)'!$C$52)*4.92,0)+IF(Param_porcs!$G$18=21,('Porc (Effectif détaillé)'!$D$41+'Porc (Effectif détaillé)'!$C$41+'Porc (Effectif détaillé)'!$C$42+'Porc (Effectif détaillé)'!$D$42)/2*138,0)+IF(Param_porcs!$G$18=22,('Porc (Effectif détaillé)'!$D$44-'Porc (Effectif détaillé)'!$C$44+'Porc (Effectif détaillé)'!$C$51+'Porc (Effectif détaillé)'!$C$52)*22.42,0)+IF(Param_porcs!$G$18=23,('Porc (Effectif détaillé)'!$D$43-'Porc (Effectif détaillé)'!$C$43+'Porc (Effectif détaillé)'!$C$50+'Porc (Effectif détaillé)'!$C$51+'Porc (Effectif détaillé)'!$C$52)*4.92,0)+IF(Param_porcs!$G$19=21,('Porc (Effectif détaillé)'!$D$41+'Porc (Effectif détaillé)'!$C$41+'Porc (Effectif détaillé)'!$C$42+'Porc (Effectif détaillé)'!$D$42)/2*138,0)+IF(Param_porcs!$G$19=22,('Porc (Effectif détaillé)'!$D$44-'Porc (Effectif détaillé)'!$C$44+'Porc (Effectif détaillé)'!$C$51+'Porc (Effectif détaillé)'!$C$52)*22.42,0)+IF(Param_porcs!$G$19=23,('Porc (Effectif détaillé)'!$D$43-'Porc (Effectif détaillé)'!$C$43+'Porc (Effectif détaillé)'!$C$50+'Porc (Effectif détaillé)'!$C$51+'Porc (Effectif détaillé)'!$C$52)*4.92,0))/1000)</f>
        <v>27.6</v>
      </c>
    </row>
    <row r="85" spans="2:9" x14ac:dyDescent="0.25">
      <c r="B85" s="99"/>
      <c r="C85" s="111"/>
      <c r="D85" s="111"/>
      <c r="E85" s="111"/>
      <c r="F85" s="111"/>
      <c r="G85" s="111"/>
      <c r="H85" s="111"/>
      <c r="I85" s="112"/>
    </row>
    <row r="86" spans="2:9" x14ac:dyDescent="0.25">
      <c r="B86" s="115" t="s">
        <v>582</v>
      </c>
      <c r="C86" s="111"/>
      <c r="D86" s="111"/>
      <c r="E86" s="111"/>
      <c r="F86" s="111"/>
      <c r="G86" s="111"/>
      <c r="H86" s="111"/>
      <c r="I86" s="112"/>
    </row>
    <row r="87" spans="2:9" x14ac:dyDescent="0.25">
      <c r="B87" s="146"/>
      <c r="C87" s="113" t="s">
        <v>583</v>
      </c>
      <c r="D87" s="113" t="s">
        <v>584</v>
      </c>
      <c r="E87" s="113" t="s">
        <v>585</v>
      </c>
      <c r="F87" s="113" t="s">
        <v>586</v>
      </c>
      <c r="G87" s="1141" t="s">
        <v>587</v>
      </c>
      <c r="H87" s="1142"/>
      <c r="I87" s="112"/>
    </row>
    <row r="88" spans="2:9" x14ac:dyDescent="0.25">
      <c r="B88" s="147" t="s">
        <v>588</v>
      </c>
      <c r="C88" s="148"/>
      <c r="D88" s="148"/>
      <c r="E88" s="148"/>
      <c r="F88" s="148"/>
      <c r="G88" s="149"/>
      <c r="H88" s="150"/>
      <c r="I88" s="112"/>
    </row>
    <row r="89" spans="2:9" x14ac:dyDescent="0.25">
      <c r="B89" s="148" t="s">
        <v>589</v>
      </c>
      <c r="C89" s="151"/>
      <c r="D89" s="151"/>
      <c r="E89" s="151">
        <f>IF('Porc (Aliments)'!$A$10="Fosse stockage 2", 'Porc (Aliments)'!$D$15,0) + IF('Porc (Aliments)'!$A$20="Fosse stockage 2",'Porc (Aliments)'!$D$25,0) + IF('Porc (Aliments)'!$A$30="Fosse stockage 2",'Porc (Aliments)'!$D$35,0)</f>
        <v>240000</v>
      </c>
      <c r="F89" s="110" t="s">
        <v>50</v>
      </c>
      <c r="G89" s="152">
        <f>E89+C89-D89</f>
        <v>240000</v>
      </c>
      <c r="H89" s="150"/>
      <c r="I89" s="112"/>
    </row>
    <row r="90" spans="2:9" x14ac:dyDescent="0.25">
      <c r="B90" s="148" t="s">
        <v>590</v>
      </c>
      <c r="C90" s="151"/>
      <c r="D90" s="151"/>
      <c r="E90" s="151">
        <f>IF('Porc (Aliments)'!$A$10="Fosse stockage 2", 'Porc (Aliments)'!$J$15,0) + IF('Porc (Aliments)'!$A$20="Fosse stockage 2", 'Porc (Aliments)'!$J$25,0) + IF('Porc (Aliments)'!$A$30="Fosse stockage 2", 'Porc (Aliments)'!$J$35, 0)</f>
        <v>5568</v>
      </c>
      <c r="F90" s="110" t="s">
        <v>50</v>
      </c>
      <c r="G90" s="152">
        <f t="shared" ref="G90:G94" si="2">E90+C90-D90</f>
        <v>5568</v>
      </c>
      <c r="H90" s="153" t="s">
        <v>591</v>
      </c>
      <c r="I90" s="112"/>
    </row>
    <row r="91" spans="2:9" x14ac:dyDescent="0.25">
      <c r="B91" s="148" t="s">
        <v>592</v>
      </c>
      <c r="C91" s="151"/>
      <c r="D91" s="151"/>
      <c r="E91" s="151">
        <f>IF('Porc (Aliments)'!$A$10="Fosse stockage 2",'Porc (Aliments)'!$K$15,0) + IF('Porc (Aliments)'!$A$20="Fosse stockage 2",'Porc (Aliments)'!$K$25,0) + IF('Porc (Aliments)'!$A$30="Fosse stockage 2", 'Porc (Aliments)'!$K$35,0)</f>
        <v>1248</v>
      </c>
      <c r="F91" s="110" t="s">
        <v>50</v>
      </c>
      <c r="G91" s="152">
        <f t="shared" si="2"/>
        <v>1248</v>
      </c>
      <c r="H91" s="153" t="s">
        <v>593</v>
      </c>
      <c r="I91" s="112"/>
    </row>
    <row r="92" spans="2:9" x14ac:dyDescent="0.25">
      <c r="B92" s="148" t="s">
        <v>594</v>
      </c>
      <c r="C92" s="151"/>
      <c r="D92" s="151"/>
      <c r="E92" s="151">
        <f>IF('Porc (Aliments)'!$A$10="Fosse stockage 2", 'Porc (Aliments)'!$L$15,0) + IF('Porc (Aliments)'!$A$20="Fosse stockage 2", 'Porc (Aliments)'!$L$25,0) + IF('Porc (Aliments)'!$A$30="Fosse stockage 2",'Porc (Aliments)'!$L$35,0)</f>
        <v>0</v>
      </c>
      <c r="F92" s="110" t="s">
        <v>50</v>
      </c>
      <c r="G92" s="152">
        <f t="shared" si="2"/>
        <v>0</v>
      </c>
      <c r="H92" s="153" t="s">
        <v>595</v>
      </c>
      <c r="I92" s="112"/>
    </row>
    <row r="93" spans="2:9" x14ac:dyDescent="0.25">
      <c r="B93" s="148" t="s">
        <v>596</v>
      </c>
      <c r="C93" s="151"/>
      <c r="D93" s="151"/>
      <c r="E93" s="151">
        <f>(IF('Porc (Aliments)'!$A$10="Fosse stockage 2",'Porc (Aliments)'!$M$15,0) + IF('Porc (Aliments)'!$A$20="Fosse stockage 2", 'Porc (Aliments)'!$M$25,0) + IF('Porc (Aliments)'!$A$30="Fosse stockage 2",'Porc (Aliments)'!$M$35,0))/1000</f>
        <v>0</v>
      </c>
      <c r="F93" s="137"/>
      <c r="G93" s="152">
        <f t="shared" si="2"/>
        <v>0</v>
      </c>
      <c r="H93" s="153"/>
      <c r="I93" s="112"/>
    </row>
    <row r="94" spans="2:9" x14ac:dyDescent="0.25">
      <c r="B94" s="155" t="s">
        <v>597</v>
      </c>
      <c r="C94" s="169"/>
      <c r="D94" s="169"/>
      <c r="E94" s="169">
        <f>(IF('Porc (Aliments)'!$A$10="Fosse stockage 2",'Porc (Aliments)'!$N$15,0) + IF('Porc (Aliments)'!$A$20="Fosse stockage 2",'Porc (Aliments)'!$N$25,0) + IF('Porc (Aliments)'!$A$30="Fosse stockage 2",'Porc (Aliments)'!$N$35,0))/1000</f>
        <v>0</v>
      </c>
      <c r="F94" s="157"/>
      <c r="G94" s="152">
        <f t="shared" si="2"/>
        <v>0</v>
      </c>
      <c r="H94" s="158"/>
      <c r="I94" s="112"/>
    </row>
    <row r="95" spans="2:9" x14ac:dyDescent="0.25">
      <c r="B95" s="147" t="s">
        <v>598</v>
      </c>
      <c r="C95" s="159"/>
      <c r="D95" s="159"/>
      <c r="E95" s="159"/>
      <c r="F95" s="160"/>
      <c r="G95" s="161"/>
      <c r="H95" s="162"/>
      <c r="I95" s="112"/>
    </row>
    <row r="96" spans="2:9" x14ac:dyDescent="0.25">
      <c r="B96" s="148" t="s">
        <v>589</v>
      </c>
      <c r="C96" s="151">
        <f>IF('Feuille saisie commune'!$F$15="Fosse stockage 2", IF('Feuille saisie commune'!$C$15="Porcs charcutiers", 'Porc (Effectif détaillé)'!$T$44, 0), 0)+IF('Feuille saisie commune'!$F$16="Fosse stockage 2", IF('Feuille saisie commune'!$C$16="Porcs charcutiers", 'Porc (Effectif détaillé)'!$T$44, 0), 0)+IF('Feuille saisie commune'!$F$17="Fosse stockage 2", IF('Feuille saisie commune'!$C$17="Porcs charcutiers", 'Porc (Effectif détaillé)'!$T$44, 0), 0)+IF('Feuille saisie commune'!$F$47="Fosse stockage 2", IF('Feuille saisie commune'!$B$48="Porcs charcutiers", 'Porc (Effectif détaillé)'!$T$44, 0), 0)+                                                                                                                                                                                      IF('Feuille saisie commune'!$F$15="Fosse stockage 2", IF('Feuille saisie commune'!$C$15="Truies et verrats", 'Porc (Effectif détaillé)'!$T$41+'Porc (Effectif détaillé)'!$T$42, 0), 0)+IF('Feuille saisie commune'!$F$16="Fosse stockage 2", IF('Feuille saisie commune'!$C$16="Truies et verrats", 'Porc (Effectif détaillé)'!$T$41+'Porc (Effectif détaillé)'!$T$42, 0), 0)+IF('Feuille saisie commune'!$F$17="Fosse stockage 2", IF('Feuille saisie commune'!$C$17="Truies et verrats", 'Porc (Effectif détaillé)'!$T$41+'Porc (Effectif détaillé)'!$T$42, 0), 0)+IF('Feuille saisie commune'!$F$47="Fosse stockage 2", IF('Feuille saisie commune'!$B$48="Truies et verrats", 'Porc (Effectif détaillé)'!$T$41+'Porc (Effectif détaillé)'!$T$42, 0), 0)+                                                                                                       IF('Feuille saisie commune'!$F$15="Fosse stockage 2", IF('Feuille saisie commune'!$C$15="Post-sevrage", 'Porc (Effectif détaillé)'!$T$43, 0), 0)+IF('Feuille saisie commune'!$F$16="Fosse stockage 2", IF('Feuille saisie commune'!$C$16="Post-sevrage", 'Porc (Effectif détaillé)'!$T$43, 0), 0)+IF('Feuille saisie commune'!$F$17="Fosse stockage 2", IF('Feuille saisie commune'!$C$17="Post-sevrage", 'Porc (Effectif détaillé)'!$T$43, 0), 0)+IF('Feuille saisie commune'!$F$47="Fosse stockage 2", IF('Feuille saisie commune'!$B$48="Post-sevrage", 'Porc (Effectif détaillé)'!$T$43, 0), 0)</f>
        <v>0</v>
      </c>
      <c r="D96" s="151">
        <f>IF('Feuille saisie commune'!$F$15="Fosse stockage 2", IF('Feuille saisie commune'!$C$15="Porcs charcutiers", 'Porc (Effectif détaillé)'!$U$44, 0), 0)+IF('Feuille saisie commune'!$F$16="Fosse stockage 2", IF('Feuille saisie commune'!$C$16="Porcs charcutiers", 'Porc (Effectif détaillé)'!$U$44, 0), 0)+IF('Feuille saisie commune'!$F$17="Fosse stockage 2", IF('Feuille saisie commune'!$C$17="Porcs charcutiers", 'Porc (Effectif détaillé)'!$U$44, 0), 0)+IF('Feuille saisie commune'!$F$47="Fosse stockage 2", IF('Feuille saisie commune'!$B$48="Porcs charcutiers", 'Porc (Effectif détaillé)'!$U$44, 0), 0)+                                                                                                                                                                                            IF('Feuille saisie commune'!$F$15="Fosse stockage 2", IF('Feuille saisie commune'!$C$15="Truies et verrats", 'Porc (Effectif détaillé)'!$U$41+'Porc (Effectif détaillé)'!$U$42, 0), 0)+IF('Feuille saisie commune'!$F$16="Fosse stockage 2", IF('Feuille saisie commune'!$C$16="Truies et verrats", 'Porc (Effectif détaillé)'!$U$41+'Porc (Effectif détaillé)'!$U$42, 0), 0)+IF('Feuille saisie commune'!$F$17="Fosse stockage 2", IF('Feuille saisie commune'!$C$17="Truies et verrats", 'Porc (Effectif détaillé)'!$U$41+'Porc (Effectif détaillé)'!$U$42, 0), 0)+IF('Feuille saisie commune'!$F$47="Fosse stockage 2", IF('Feuille saisie commune'!$B$48="Truies et verrats", 'Porc (Effectif détaillé)'!$U$41+'Porc (Effectif détaillé)'!$U$42, 0), 0)+                                                                                                           IF('Feuille saisie commune'!$F$15="Fosse stockage 2", IF('Feuille saisie commune'!$C$15="Post-sevrage", 'Porc (Effectif détaillé)'!$U$43, 0), 0)+IF('Feuille saisie commune'!$F$16="Fosse stockage 2", IF('Feuille saisie commune'!$C$16="Post-sevrage", 'Porc (Effectif détaillé)'!$U$43, 0), 0)+IF('Feuille saisie commune'!$F$17="Fosse stockage 2", IF('Feuille saisie commune'!$C$17="Post-sevrage", 'Porc (Effectif détaillé)'!$U$43, 0), 0)+IF('Feuille saisie commune'!$F$47="Fosse stockage 2", IF('Feuille saisie commune'!$B$48="Post-sevrage", 'Porc (Effectif détaillé)'!$U$43, 0), 0)</f>
        <v>0</v>
      </c>
      <c r="E96" s="163">
        <f>IF('Feuille saisie commune'!$F$15="Fosse stockage 2", IF('Feuille saisie commune'!$C$15="Porcs charcutiers", 'Porc (Effectif détaillé)'!$O$50, 0), 0)+IF('Feuille saisie commune'!$F$16="Fosse stockage 2", IF('Feuille saisie commune'!$C$16="Porcs charcutiers", 'Porc (Effectif détaillé)'!$O$50, 0), 0)+IF('Feuille saisie commune'!$F$17="Fosse stockage 2", IF('Feuille saisie commune'!$C$17="Porcs charcutiers", 'Porc (Effectif détaillé)'!$O$50, 0), 0)+IF('Feuille saisie commune'!$F$47="Fosse stockage 2", IF('Feuille saisie commune'!$B$48="Porcs charcutiers", 'Porc (Effectif détaillé)'!$O$50, 0), 0)+                                                                                                                                                                                            IF('Feuille saisie commune'!$F$15="Fosse stockage 2", IF('Feuille saisie commune'!$C$15="Truies et verrats", 'Porc (Effectif détaillé)'!$O$51, 0), 0)+IF('Feuille saisie commune'!$F$16="Fosse stockage 2", IF('Feuille saisie commune'!$C$16="Truies et verrats", 'Porc (Effectif détaillé)'!$O$51, 0), 0)+IF('Feuille saisie commune'!$F$17="Fosse stockage 2", IF('Feuille saisie commune'!$C$17="Truies et verrats", 'Porc (Effectif détaillé)'!$O$51, 0), 0)+IF('Feuille saisie commune'!$F$47="Fosse stockage 2", IF('Feuille saisie commune'!$B$48="Truies et verrats", 'Porc (Effectif détaillé)'!$O$51, 0), 0)+                                                                                                                                                                                                                                               IF('Feuille saisie commune'!$F$15="Fosse stockage 2", IF('Feuille saisie commune'!$C$15="Post-sevrage", 'Porc (Effectif détaillé)'!$O$49, 0), 0)+IF('Feuille saisie commune'!$F$16="Fosse stockage 2", IF('Feuille saisie commune'!$C$16="Post-sevrage", 'Porc (Effectif détaillé)'!$O$49, 0), 0)+IF('Feuille saisie commune'!$F$17="Fosse stockage 2", IF('Feuille saisie commune'!$C$17="Post-sevrage", 'Porc (Effectif détaillé)'!$O$49, 0), 0)+IF('Feuille saisie commune'!$F$47="Fosse stockage 2", IF('Feuille saisie commune'!$B$48="Post-sevrage", 'Porc (Effectif détaillé)'!$O$49, 0), 0)</f>
        <v>0</v>
      </c>
      <c r="F96" s="164">
        <f>IF('Feuille saisie commune'!$F$15="Fosse stockage 2", IF('Feuille saisie commune'!$C$15="Porcs charcutiers", 'Porc (Effectif détaillé)'!$I$51+'Porc (Effectif détaillé)'!$I$52+'Porc (Effectif détaillé)'!$I$54*0.6, 0), 0)+IF('Feuille saisie commune'!$F$16="Fosse stockage 2", IF('Feuille saisie commune'!$C$16="Porcs charcutiers", 'Porc (Effectif détaillé)'!$I$51+'Porc (Effectif détaillé)'!$I$52+'Porc (Effectif détaillé)'!$I$54*0.6, 0), 0)+IF('Feuille saisie commune'!$F$17="Fosse stockage 2", IF('Feuille saisie commune'!$C$17="Porcs charcutiers", 'Porc (Effectif détaillé)'!$I$51+'Porc (Effectif détaillé)'!$I$52+'Porc (Effectif détaillé)'!$I$54*0.6, 0), 0)+IF('Feuille saisie commune'!$F$47="Fosse stockage 2", IF('Feuille saisie commune'!$B$48="Porcs charcutiers", 'Porc (Effectif détaillé)'!$I$51+'Porc (Effectif détaillé)'!$I$52+'Porc (Effectif détaillé)'!$I$54*0.6, 0), 0)+                                                                                                                                   IF('Feuille saisie commune'!$F$15="Fosse stockage 2", IF('Feuille saisie commune'!$C$15="Truies et verrats", 'Porc (Effectif détaillé)'!$I$49+'Porc (Effectif détaillé)'!$I$53+'Porc (Effectif détaillé)'!$I$54*0.4, 0), 0)+IF('Feuille saisie commune'!$F$16="Fosse stockage 2", IF('Feuille saisie commune'!$C$16="Truies et verrats", 'Porc (Effectif détaillé)'!$I$49+'Porc (Effectif détaillé)'!$I$53+'Porc (Effectif détaillé)'!$I$54*0.4, 0), 0)+IF('Feuille saisie commune'!$F$17="Fosse stockage 2", IF('Feuille saisie commune'!$C$17="Truies et verrats", 'Porc (Effectif détaillé)'!$I$49+'Porc (Effectif détaillé)'!$I$53+'Porc (Effectif détaillé)'!$I$54*0.4, 0), 0)+IF('Feuille saisie commune'!$F$47="Fosse stockage 2", IF('Feuille saisie commune'!$B$48="Truies et verrats", 'Porc (Effectif détaillé)'!I$49+'Porc (Effectif détaillé)'!I$53+'Porc (Effectif détaillé)'!I$54*0.4, 0), 0)+                                                                                                                                                                                                              IF('Feuille saisie commune'!$F$15="Fosse stockage 2", IF('Feuille saisie commune'!$C$15="Post-sevrage", 'Porc (Effectif détaillé)'!$I$50, 0), 0)+IF('Feuille saisie commune'!$F$16="Fosse stockage 2", IF('Feuille saisie commune'!$C$16="Post-sevrage", 'Porc (Effectif détaillé)'!$I$50, 0), 0)+IF('Feuille saisie commune'!$F$17="Fosse stockage 2", IF('Feuille saisie commune'!$C$17="Post-sevrage", 'Porc (Effectif détaillé)'!$I$50, 0), 0)+IF('Feuille saisie commune'!$F$47="Fosse stockage 2", IF('Feuille saisie commune'!$B$48="Post-sevrage", 'Porc (Effectif détaillé)'!$I$50, 0), 0)</f>
        <v>0</v>
      </c>
      <c r="G96" s="152">
        <f>-C96+D96+F96-E96</f>
        <v>0</v>
      </c>
      <c r="H96" s="153"/>
      <c r="I96" s="112"/>
    </row>
    <row r="97" spans="1:9" x14ac:dyDescent="0.25">
      <c r="B97" s="148" t="s">
        <v>590</v>
      </c>
      <c r="C97" s="151">
        <f>IF('Feuille saisie commune'!$F$15="Fosse stockage 2", IF('Feuille saisie commune'!$C$15="Porcs charcutiers", 'Porc (Effectif détaillé)'!$J$44, 0), 0)+IF('Feuille saisie commune'!$F$16="Fosse stockage 2", IF('Feuille saisie commune'!$C$16="Porcs charcutiers", 'Porc (Effectif détaillé)'!$J$44, 0), 0)+IF('Feuille saisie commune'!$F$17="Fosse stockage 2", IF('Feuille saisie commune'!$C$17="Porcs charcutiers", 'Porc (Effectif détaillé)'!$J$44, 0), 0)+IF('Feuille saisie commune'!$F$47="Fosse stockage 2", IF('Feuille saisie commune'!$B$48="Porcs charcutiers", 'Porc (Effectif détaillé)'!$J$44, 0), 0)+                                                                                                                                                                                      IF('Feuille saisie commune'!$F$15="Fosse stockage 2", IF('Feuille saisie commune'!$C$15="Truies et verrats", 'Porc (Effectif détaillé)'!$J$41+'Porc (Effectif détaillé)'!$J$42, 0), 0)+IF('Feuille saisie commune'!$F$16="Fosse stockage 2", IF('Feuille saisie commune'!$C$16="Truies et verrats", 'Porc (Effectif détaillé)'!$J$41+'Porc (Effectif détaillé)'!$J$42, 0), 0)+IF('Feuille saisie commune'!$F$17="Fosse stockage 2", IF('Feuille saisie commune'!$C$17="Truies et verrats", 'Porc (Effectif détaillé)'!$J$41+'Porc (Effectif détaillé)'!$J$42, 0), 0)+IF('Feuille saisie commune'!$F$47="Fosse stockage 2", IF('Feuille saisie commune'!$B$48="Truies et verrats", 'Porc (Effectif détaillé)'!$J$41+'Porc (Effectif détaillé)'!$J$42, 0), 0)+                                                                                                       IF('Feuille saisie commune'!$F$15="Fosse stockage 2", IF('Feuille saisie commune'!$C$15="Post-sevrage", 'Porc (Effectif détaillé)'!$J$43, 0), 0)+IF('Feuille saisie commune'!$F$16="Fosse stockage 2", IF('Feuille saisie commune'!$C$16="Post-sevrage", 'Porc (Effectif détaillé)'!$J$43, 0), 0)+IF('Feuille saisie commune'!$F$17="Fosse stockage 2", IF('Feuille saisie commune'!$C$17="Post-sevrage", 'Porc (Effectif détaillé)'!$J$43, 0), 0)+IF('Feuille saisie commune'!$F$47="Fosse stockage 2", IF('Feuille saisie commune'!$B$48="Post-sevrage", 'Porc (Effectif détaillé)'!$J$43, 0), 0)</f>
        <v>0</v>
      </c>
      <c r="D97" s="151">
        <f>IF('Feuille saisie commune'!$F$15="Fosse stockage 2", IF('Feuille saisie commune'!$C$15="Porcs charcutiers", 'Porc (Effectif détaillé)'!$K$44, 0), 0)+IF('Feuille saisie commune'!$F$16="Fosse stockage 2", IF('Feuille saisie commune'!$C$16="Porcs charcutiers", 'Porc (Effectif détaillé)'!$K$44, 0), 0)+IF('Feuille saisie commune'!$F$17="Fosse stockage 2", IF('Feuille saisie commune'!$C$17="Porcs charcutiers", 'Porc (Effectif détaillé)'!$K$44, 0), 0)+IF('Feuille saisie commune'!$F$47="Fosse stockage 2", IF('Feuille saisie commune'!$B$48="Porcs charcutiers", 'Porc (Effectif détaillé)'!$K$44, 0), 0)+                                                                                                                                                                                            IF('Feuille saisie commune'!$F$15="Fosse stockage 2", IF('Feuille saisie commune'!$C$15="Truies et verrats", 'Porc (Effectif détaillé)'!$K$41+'Porc (Effectif détaillé)'!$K$42, 0), 0)+IF('Feuille saisie commune'!$F$16="Fosse stockage 2", IF('Feuille saisie commune'!$C$16="Truies et verrats", 'Porc (Effectif détaillé)'!$K$41+'Porc (Effectif détaillé)'!$K$42, 0), 0)+IF('Feuille saisie commune'!$F$17="Fosse stockage 2", IF('Feuille saisie commune'!$C$17="Truies et verrats", 'Porc (Effectif détaillé)'!$K$41+'Porc (Effectif détaillé)'!$K$42, 0), 0)+IF('Feuille saisie commune'!$F$47="Fosse stockage 2", IF('Feuille saisie commune'!$B$48="Truies et verrats", 'Porc (Effectif détaillé)'!$K$41+'Porc (Effectif détaillé)'!$K$42, 0), 0)+                                                                                                          IF('Feuille saisie commune'!$F$15="Fosse stockage 2", IF('Feuille saisie commune'!$C$15="Post-sevrage", 'Porc (Effectif détaillé)'!$K$43, 0), 0)+IF('Feuille saisie commune'!$F$16="Fosse stockage 2", IF('Feuille saisie commune'!$C$16="Post-sevrage", 'Porc (Effectif détaillé)'!$K$43, 0), 0)+IF('Feuille saisie commune'!$F$17="Fosse stockage 2", IF('Feuille saisie commune'!$C$17="Post-sevrage", 'Porc (Effectif détaillé)'!$K$43, 0), 0)+IF('Feuille saisie commune'!$F$47="Fosse stockage 2", IF('Feuille saisie commune'!$B$48="Post-sevrage", 'Porc (Effectif détaillé)'!$K$43, 0), 0)</f>
        <v>0</v>
      </c>
      <c r="E97" s="163">
        <f>IF('Feuille saisie commune'!$F$15="Fosse stockage 2", IF('Feuille saisie commune'!$C$15="Porcs charcutiers", 'Porc (Effectif détaillé)'!$P$50, 0), 0)+IF('Feuille saisie commune'!$F$16="Fosse stockage 2", IF('Feuille saisie commune'!$C$16="Porcs charcutiers", 'Porc (Effectif détaillé)'!$P$50, 0), 0)+IF('Feuille saisie commune'!$F$17="Fosse stockage 2", IF('Feuille saisie commune'!$C$17="Porcs charcutiers", 'Porc (Effectif détaillé)'!$P$50, 0), 0)+IF('Feuille saisie commune'!$F$47="Fosse stockage 2", IF('Feuille saisie commune'!$B$48="Porcs charcutiers", 'Porc (Effectif détaillé)'!$P$50, 0), 0)+                                                                                                                                                                                            IF('Feuille saisie commune'!$F$15="Fosse stockage 2", IF('Feuille saisie commune'!$C$15="Truies et verrats", 'Porc (Effectif détaillé)'!$P$51, 0), 0)+IF('Feuille saisie commune'!$F$16="Fosse stockage 2", IF('Feuille saisie commune'!$C$16="Truies et verrats", 'Porc (Effectif détaillé)'!$P$51, 0), 0)+IF('Feuille saisie commune'!$F$17="Fosse stockage 2", IF('Feuille saisie commune'!$C$17="Truies et verrats", 'Porc (Effectif détaillé)'!$P$51, 0), 0)+IF('Feuille saisie commune'!$F$47="Fosse stockage 2", IF('Feuille saisie commune'!$B$48="Truies et verrats", 'Porc (Effectif détaillé)'!$P$51, 0), 0)+                                                                                                                                                                                                                                               IF('Feuille saisie commune'!$F$15="Fosse stockage 2", IF('Feuille saisie commune'!$C$15="Post-sevrage", 'Porc (Effectif détaillé)'!$P$49, 0), 0)+IF('Feuille saisie commune'!$F$16="Fosse stockage 2", IF('Feuille saisie commune'!$C$16="Post-sevrage", 'Porc (Effectif détaillé)'!$P$49, 0), 0)+IF('Feuille saisie commune'!$F$17="Fosse stockage 2", IF('Feuille saisie commune'!$C$17="Post-sevrage", 'Porc (Effectif détaillé)'!$P$49, 0), 0)+IF('Feuille saisie commune'!$F$47="Fosse stockage 2", IF('Feuille saisie commune'!$B$48="Post-sevrage", 'Porc (Effectif détaillé)'!$P$49, 0), 0)</f>
        <v>0</v>
      </c>
      <c r="F97" s="164">
        <f>IF('Feuille saisie commune'!$F$15="Fosse stockage 2", IF('Feuille saisie commune'!$C$15="Porcs charcutiers", 'Porc (Effectif détaillé)'!$J$51+'Porc (Effectif détaillé)'!$J$52+'Porc (Effectif détaillé)'!$J$54*0.6, 0), 0)+IF('Feuille saisie commune'!$F$16="Fosse stockage 2", IF('Feuille saisie commune'!$C$16="Porcs charcutiers", 'Porc (Effectif détaillé)'!$J$51+'Porc (Effectif détaillé)'!$J$52+'Porc (Effectif détaillé)'!$J$54*0.6, 0), 0)+IF('Feuille saisie commune'!$F$17="Fosse stockage 2", IF('Feuille saisie commune'!$C$17="Porcs charcutiers", 'Porc (Effectif détaillé)'!$J$51+'Porc (Effectif détaillé)'!$J$52+'Porc (Effectif détaillé)'!$J$54*0.6, 0), 0)+IF('Feuille saisie commune'!$F$47="Fosse stockage 2", IF('Feuille saisie commune'!$B$48="Porcs charcutiers", 'Porc (Effectif détaillé)'!$J$51+'Porc (Effectif détaillé)'!$J$52+'Porc (Effectif détaillé)'!$J$54*0.6, 0), 0)+                                                                                                                                   IF('Feuille saisie commune'!$F$15="Fosse stockage 2", IF('Feuille saisie commune'!$C$15="Truies et verrats", 'Porc (Effectif détaillé)'!$J$49+'Porc (Effectif détaillé)'!$J$53+'Porc (Effectif détaillé)'!$J$54*0.4, 0), 0)+IF('Feuille saisie commune'!$F$16="Fosse stockage 2", IF('Feuille saisie commune'!$C$16="Truies et verrats", 'Porc (Effectif détaillé)'!$J$49+'Porc (Effectif détaillé)'!$J$53+'Porc (Effectif détaillé)'!$J$54*0.4, 0), 0)+IF('Feuille saisie commune'!$F$17="Fosse stockage 2", IF('Feuille saisie commune'!$C$17="Truies et verrats", 'Porc (Effectif détaillé)'!$J$49+'Porc (Effectif détaillé)'!$J$53+'Porc (Effectif détaillé)'!$J$54*0.4, 0), 0)+IF('Feuille saisie commune'!$F$47="Fosse stockage 2", IF('Feuille saisie commune'!$B$48="Truies et verrats", 'Porc (Effectif détaillé)'!$J$49+'Porc (Effectif détaillé)'!$J$53+'Porc (Effectif détaillé)'!$J$54*0.4, 0), 0)+                                                                                                                                                                                                              IF('Feuille saisie commune'!$F$15="Fosse stockage 2", IF('Feuille saisie commune'!$C$15="Post-sevrage", 'Porc (Effectif détaillé)'!$J$50, 0), 0)+IF('Feuille saisie commune'!$F$16="Fosse stockage 2", IF('Feuille saisie commune'!$C$16="Post-sevrage", 'Porc (Effectif détaillé)'!$J$50, 0), 0)+IF('Feuille saisie commune'!$F$17="Fosse stockage 2", IF('Feuille saisie commune'!$C$17="Post-sevrage", 'Porc (Effectif détaillé)'!$J$50, 0), 0)+IF('Feuille saisie commune'!$F$47="Fosse stockage 2", IF('Feuille saisie commune'!$B$48="Post-sevrage", 'Porc (Effectif détaillé)'!$J$50, 0), 0)</f>
        <v>0</v>
      </c>
      <c r="G97" s="152">
        <f t="shared" ref="G97:G101" si="3">-C97+D97+F97-E97</f>
        <v>0</v>
      </c>
      <c r="H97" s="153" t="s">
        <v>599</v>
      </c>
      <c r="I97" s="112"/>
    </row>
    <row r="98" spans="1:9" x14ac:dyDescent="0.25">
      <c r="B98" s="148" t="s">
        <v>600</v>
      </c>
      <c r="C98" s="151">
        <f>IF('Feuille saisie commune'!$F$15="Fosse stockage 2", IF('Feuille saisie commune'!$C$15="Porcs charcutiers", 'Porc (Effectif détaillé)'!$L$44, 0), 0)+IF('Feuille saisie commune'!$F$16="Fosse stockage 2", IF('Feuille saisie commune'!$C$16="Porcs charcutiers", 'Porc (Effectif détaillé)'!$L$44, 0), 0)+IF('Feuille saisie commune'!$F$17="Fosse stockage 2", IF('Feuille saisie commune'!$C$17="Porcs charcutiers", 'Porc (Effectif détaillé)'!$L$44, 0), 0)+IF('Feuille saisie commune'!$F$47="Fosse stockage 2", IF('Feuille saisie commune'!$B$48="Porcs charcutiers", 'Porc (Effectif détaillé)'!$L$44, 0), 0)+                                                                                                                                                                                          IF('Feuille saisie commune'!$F$15="Fosse stockage 2", IF('Feuille saisie commune'!$C$15="Truies et verrats", 'Porc (Effectif détaillé)'!$L$41+'Porc (Effectif détaillé)'!$L$42, 0), 0)+IF('Feuille saisie commune'!$F$16="Fosse stockage 2", IF('Feuille saisie commune'!$C$16="Truies et verrats", 'Porc (Effectif détaillé)'!$L$41+'Porc (Effectif détaillé)'!$L$42, 0), 0)+IF('Feuille saisie commune'!$F$17="Fosse stockage 2", IF('Feuille saisie commune'!$C$17="Truies et verrats", 'Porc (Effectif détaillé)'!$L$41+'Porc (Effectif détaillé)'!$L$42, 0), 0)+IF('Feuille saisie commune'!$F$47="Fosse stockage 2", IF('Feuille saisie commune'!$B$48="Truies et verrats", 'Porc (Effectif détaillé)'!$L$41+'Porc (Effectif détaillé)'!$L$42, 0), 0)+                                                                                                       IF('Feuille saisie commune'!$F$15="Fosse stockage 2", IF('Feuille saisie commune'!$C$15="Post-sevrage", 'Porc (Effectif détaillé)'!$L$43, 0), 0)+IF('Feuille saisie commune'!$F$16="Fosse stockage 2", IF('Feuille saisie commune'!$C$16="Post-sevrage", 'Porc (Effectif détaillé)'!$L$43, 0), 0)+IF('Feuille saisie commune'!$F$17="Fosse stockage 2", IF('Feuille saisie commune'!$C$17="Post-sevrage", 'Porc (Effectif détaillé)'!$L$43, 0), 0)+IF('Feuille saisie commune'!$F$47="Fosse stockage 2", IF('Feuille saisie commune'!$B$48="Post-sevrage", 'Porc (Effectif détaillé)'!$L$43, 0), 0)</f>
        <v>0</v>
      </c>
      <c r="D98" s="151">
        <f>IF('Feuille saisie commune'!$F$15="Fosse stockage 2", IF('Feuille saisie commune'!$C$15="Porcs charcutiers", 'Porc (Effectif détaillé)'!$M$44, 0), 0)+IF('Feuille saisie commune'!$F$16="Fosse stockage 2", IF('Feuille saisie commune'!$C$16="Porcs charcutiers", 'Porc (Effectif détaillé)'!$M$44, 0), 0)+IF('Feuille saisie commune'!$F$17="Fosse stockage 2", IF('Feuille saisie commune'!$C$17="Porcs charcutiers", 'Porc (Effectif détaillé)'!$M$44, 0), 0)+IF('Feuille saisie commune'!$F$47="Fosse stockage 2", IF('Feuille saisie commune'!$B$48="Porcs charcutiers", 'Porc (Effectif détaillé)'!$M$44, 0), 0)+                                                                                                                                                                                       IF('Feuille saisie commune'!$F$15="Fosse stockage 2", IF('Feuille saisie commune'!$C$15="Truies et verrats", 'Porc (Effectif détaillé)'!$M$41+'Porc (Effectif détaillé)'!$M$42, 0), 0)+IF('Feuille saisie commune'!$F$16="Fosse stockage 2", IF('Feuille saisie commune'!$C$16="Truies et verrats", 'Porc (Effectif détaillé)'!$M$41+'Porc (Effectif détaillé)'!$M$42, 0), 0)+IF('Feuille saisie commune'!$F$17="Fosse stockage 2", IF('Feuille saisie commune'!$C$17="Truies et verrats", 'Porc (Effectif détaillé)'!$M$41+'Porc (Effectif détaillé)'!$M$42, 0), 0)+IF('Feuille saisie commune'!$F$47="Fosse stockage 2", IF('Feuille saisie commune'!$B$48="Truies et verrats", 'Porc (Effectif détaillé)'!$M$41+'Porc (Effectif détaillé)'!$M$42, 0), 0)+                                                                                                          IF('Feuille saisie commune'!$F$15="Fosse stockage 2", IF('Feuille saisie commune'!$C$15="Post-sevrage", 'Porc (Effectif détaillé)'!$M$43, 0), 0)+IF('Feuille saisie commune'!$F$16="Fosse stockage 2", IF('Feuille saisie commune'!$C$16="Post-sevrage", 'Porc (Effectif détaillé)'!$M$43, 0), 0)+IF('Feuille saisie commune'!$F$17="Fosse stockage 2", IF('Feuille saisie commune'!$C$17="Post-sevrage", 'Porc (Effectif détaillé)'!$M$43, 0), 0)+IF('Feuille saisie commune'!$F$47="Fosse stockage 2", IF('Feuille saisie commune'!$B$48="Post-sevrage", 'Porc (Effectif détaillé)'!$M$43, 0), 0)</f>
        <v>0</v>
      </c>
      <c r="E98" s="163">
        <f>IF('Feuille saisie commune'!$F$15="Fosse stockage 2", IF('Feuille saisie commune'!$C$15="Porcs charcutiers", 'Porc (Effectif détaillé)'!$Q$50, 0), 0)+IF('Feuille saisie commune'!$F$16="Fosse stockage 2", IF('Feuille saisie commune'!$C$16="Porcs charcutiers", 'Porc (Effectif détaillé)'!$Q$50, 0), 0)+IF('Feuille saisie commune'!$F$17="Fosse stockage 2", IF('Feuille saisie commune'!$C$17="Porcs charcutiers", 'Porc (Effectif détaillé)'!$Q$50, 0), 0)+IF('Feuille saisie commune'!$F$47="Fosse stockage 2", IF('Feuille saisie commune'!$B$48="Porcs charcutiers", 'Porc (Effectif détaillé)'!$Q$50, 0), 0)+                                                                                                                                                                                            IF('Feuille saisie commune'!$F$15="Fosse stockage 2", IF('Feuille saisie commune'!$C$15="Truies et verrats", 'Porc (Effectif détaillé)'!$Q$51, 0), 0)+IF('Feuille saisie commune'!$F$16="Fosse stockage 2", IF('Feuille saisie commune'!$C$16="Truies et verrats", 'Porc (Effectif détaillé)'!$Q$51, 0), 0)+IF('Feuille saisie commune'!$F$17="Fosse stockage 2", IF('Feuille saisie commune'!$C$17="Truies et verrats", 'Porc (Effectif détaillé)'!$Q$51, 0), 0)+IF('Feuille saisie commune'!$F$47="Fosse stockage 2", IF('Feuille saisie commune'!$B$48="Truies et verrats", 'Porc (Effectif détaillé)'!$Q$51, 0), 0)+                                                                                                                                                                                                                                               IF('Feuille saisie commune'!$F$15="Fosse stockage 2", IF('Feuille saisie commune'!$C$15="Post-sevrage", 'Porc (Effectif détaillé)'!$Q$49, 0), 0)+IF('Feuille saisie commune'!$F$16="Fosse stockage 2", IF('Feuille saisie commune'!$C$16="Post-sevrage", 'Porc (Effectif détaillé)'!$Q$49, 0), 0)+IF('Feuille saisie commune'!$F$17="Fosse stockage 2", IF('Feuille saisie commune'!$C$17="Post-sevrage", 'Porc (Effectif détaillé)'!$Q$49, 0), 0)+IF('Feuille saisie commune'!$F$47="Fosse stockage 2", IF('Feuille saisie commune'!$B$48="Post-sevrage", 'Porc (Effectif détaillé)'!$Q$49, 0), 0)</f>
        <v>0</v>
      </c>
      <c r="F98" s="164">
        <f>IF('Feuille saisie commune'!$F$15="Fosse stockage 2", IF('Feuille saisie commune'!$C$15="Porcs charcutiers", 'Porc (Effectif détaillé)'!$K$51+'Porc (Effectif détaillé)'!$K$52+'Porc (Effectif détaillé)'!$K$54*0.6, 0), 0)+IF('Feuille saisie commune'!$F$16="Fosse stockage 2", IF('Feuille saisie commune'!$C$16="Porcs charcutiers", 'Porc (Effectif détaillé)'!$K$51+'Porc (Effectif détaillé)'!$K$52+'Porc (Effectif détaillé)'!$K$54*0.6, 0), 0)+IF('Feuille saisie commune'!$F$17="Fosse stockage 2", IF('Feuille saisie commune'!$C$17="Porcs charcutiers", 'Porc (Effectif détaillé)'!$K$51+'Porc (Effectif détaillé)'!$K$52+'Porc (Effectif détaillé)'!$K$54*0.6, 0), 0)+IF('Feuille saisie commune'!$F$47="Fosse stockage 2", IF('Feuille saisie commune'!$B$48="Porcs charcutiers", 'Porc (Effectif détaillé)'!$K$51+'Porc (Effectif détaillé)'!$K$52+'Porc (Effectif détaillé)'!$K$54*0.6, 0), 0)+                                                                                                                                   IF('Feuille saisie commune'!$F$15="Fosse stockage 2", IF('Feuille saisie commune'!$C$15="Truies et verrats", 'Porc (Effectif détaillé)'!$K$49+'Porc (Effectif détaillé)'!$K$53+'Porc (Effectif détaillé)'!$K$54*0.4, 0), 0)+IF('Feuille saisie commune'!$F$16="Fosse stockage 2", IF('Feuille saisie commune'!$C$16="Truies et verrats", 'Porc (Effectif détaillé)'!$K$49+'Porc (Effectif détaillé)'!$K$53+'Porc (Effectif détaillé)'!$K$54*0.4, 0), 0)+IF('Feuille saisie commune'!$F$17="Fosse stockage 2", IF('Feuille saisie commune'!$C$17="Truies et verrats", 'Porc (Effectif détaillé)'!$K$49+'Porc (Effectif détaillé)'!$K$53+'Porc (Effectif détaillé)'!$K$54*0.4, 0), 0)+IF('Feuille saisie commune'!$F$47="Fosse stockage 2", IF('Feuille saisie commune'!$B$48="Truies et verrats", 'Porc (Effectif détaillé)'!$K$49+'Porc (Effectif détaillé)'!$K$53+'Porc (Effectif détaillé)'!$K$54*0.4, 0), 0)+                                                                                                                                                                                                              IF('Feuille saisie commune'!$F$15="Fosse stockage 2", IF('Feuille saisie commune'!$C$15="Post-sevrage", 'Porc (Effectif détaillé)'!$K$50, 0), 0)+IF('Feuille saisie commune'!$F$16="Fosse stockage 2", IF('Feuille saisie commune'!$C$16="Post-sevrage", 'Porc (Effectif détaillé)'!$K$50, 0), 0)+IF('Feuille saisie commune'!$F$17="Fosse stockage 2", IF('Feuille saisie commune'!$C$17="Post-sevrage", 'Porc (Effectif détaillé)'!$K$50, 0), 0)+IF('Feuille saisie commune'!$F$47="Fosse stockage 2", IF('Feuille saisie commune'!$B$48="Post-sevrage", 'Porc (Effectif détaillé)'!$K$50, 0), 0)</f>
        <v>0</v>
      </c>
      <c r="G98" s="152">
        <f t="shared" si="3"/>
        <v>0</v>
      </c>
      <c r="H98" s="153" t="s">
        <v>601</v>
      </c>
      <c r="I98" s="165"/>
    </row>
    <row r="99" spans="1:9" x14ac:dyDescent="0.25">
      <c r="B99" s="148" t="s">
        <v>594</v>
      </c>
      <c r="C99" s="151">
        <f>IF('Feuille saisie commune'!$F$15="Fosse stockage 2", IF('Feuille saisie commune'!$C$15="Porcs charcutiers", 'Porc (Effectif détaillé)'!$N$44, 0), 0)+IF('Feuille saisie commune'!$F$16="Fosse stockage 2", IF('Feuille saisie commune'!$C$16="Porcs charcutiers", 'Porc (Effectif détaillé)'!$N$44, 0), 0)+IF('Feuille saisie commune'!$F$17="Fosse stockage 2", IF('Feuille saisie commune'!$C$17="Porcs charcutiers", 'Porc (Effectif détaillé)'!$N$44, 0), 0)+IF('Feuille saisie commune'!$F$47="Fosse stockage 2", IF('Feuille saisie commune'!$B$48="Porcs charcutiers", 'Porc (Effectif détaillé)'!$N$44, 0), 0)+                                                                                                                                                                                      IF('Feuille saisie commune'!$F$15="Fosse stockage 2", IF('Feuille saisie commune'!$C$15="Truies et verrats", 'Porc (Effectif détaillé)'!$N$41+'Porc (Effectif détaillé)'!$N$42, 0), 0)+IF('Feuille saisie commune'!$F$16="Fosse stockage 2", IF('Feuille saisie commune'!$C$16="Truies et verrats", 'Porc (Effectif détaillé)'!$N$41+'Porc (Effectif détaillé)'!$N$42, 0), 0)+IF('Feuille saisie commune'!$F$17="Fosse stockage 2", IF('Feuille saisie commune'!$C$17="Truies et verrats", 'Porc (Effectif détaillé)'!$N$41+'Porc (Effectif détaillé)'!$N$42, 0), 0)+IF('Feuille saisie commune'!$F$47="Fosse stockage 2", IF('Feuille saisie commune'!$B$48="Truies et verrats", 'Porc (Effectif détaillé)'!$N$41+'Porc (Effectif détaillé)'!$N$42, 0), 0)+                                                                                                         IF('Feuille saisie commune'!$F$15="Fosse stockage 2", IF('Feuille saisie commune'!$C$15="Post-sevrage", 'Porc (Effectif détaillé)'!$N$43, 0), 0)+IF('Feuille saisie commune'!$F$16="Fosse stockage 2", IF('Feuille saisie commune'!$C$16="Post-sevrage", 'Porc (Effectif détaillé)'!$N$43, 0), 0)+IF('Feuille saisie commune'!$F$17="Fosse stockage 2", IF('Feuille saisie commune'!$C$17="Post-sevrage", 'Porc (Effectif détaillé)'!$N$43, 0), 0)+IF('Feuille saisie commune'!$F$47="Fosse stockage 2", IF('Feuille saisie commune'!$B$48="Post-sevrage", 'Porc (Effectif détaillé)'!$N$43, 0), 0)</f>
        <v>0</v>
      </c>
      <c r="D99" s="151">
        <f>IF('Feuille saisie commune'!$F$15="Fosse stockage 2", IF('Feuille saisie commune'!$C$15="Porcs charcutiers", 'Porc (Effectif détaillé)'!$O$44, 0), 0)+IF('Feuille saisie commune'!$F$16="Fosse stockage 2", IF('Feuille saisie commune'!$C$16="Porcs charcutiers", 'Porc (Effectif détaillé)'!$O$44, 0), 0)+IF('Feuille saisie commune'!$F$17="Fosse stockage 2", IF('Feuille saisie commune'!$C$17="Porcs charcutiers", 'Porc (Effectif détaillé)'!$O$44, 0), 0)+IF('Feuille saisie commune'!$F$47="Fosse stockage 2", IF('Feuille saisie commune'!$B$48="Porcs charcutiers", 'Porc (Effectif détaillé)'!$O$44, 0), 0)+                                                                                                                                                                                               IF('Feuille saisie commune'!$F$15="Fosse stockage 2", IF('Feuille saisie commune'!$C$15="Truies et verrats", 'Porc (Effectif détaillé)'!$O$41+'Porc (Effectif détaillé)'!$O$42, 0), 0)+IF('Feuille saisie commune'!$F$16="Fosse stockage 2", IF('Feuille saisie commune'!$C$16="Truies et verrats", 'Porc (Effectif détaillé)'!$O$41+'Porc (Effectif détaillé)'!$O$42, 0), 0)+IF('Feuille saisie commune'!$F$17="Fosse stockage 2", IF('Feuille saisie commune'!$C$17="Truies et verrats", 'Porc (Effectif détaillé)'!$O$41+'Porc (Effectif détaillé)'!$O$42, 0), 0)+IF('Feuille saisie commune'!$F$47="Fosse stockage 2", IF('Feuille saisie commune'!$B$48="Truies et verrats", 'Porc (Effectif détaillé)'!$O$41+'Porc (Effectif détaillé)'!$O$42, 0), 0)+                                                                                                                                                IF('Feuille saisie commune'!$F$15="Fosse stockage 2", IF('Feuille saisie commune'!$C$15="Post-sevrage", 'Porc (Effectif détaillé)'!$O$43, 0), 0)+IF('Feuille saisie commune'!$F$16="Fosse stockage 2", IF('Feuille saisie commune'!$C$16="Post-sevrage", 'Porc (Effectif détaillé)'!$O$43, 0), 0)+IF('Feuille saisie commune'!$F$17="Fosse stockage 2", IF('Feuille saisie commune'!$C$17="Post-sevrage", 'Porc (Effectif détaillé)'!$O$43, 0), 0)+IF('Feuille saisie commune'!$F$47="Fosse stockage 2", IF('Feuille saisie commune'!$B$48="Post-sevrage", 'Porc (Effectif détaillé)'!$O$43, 0), 0)</f>
        <v>0</v>
      </c>
      <c r="E99" s="163">
        <f>IF('Feuille saisie commune'!$F$15="Fosse stockage 2", IF('Feuille saisie commune'!$C$15="Porcs charcutiers", 'Porc (Effectif détaillé)'!$R$50, 0), 0)+IF('Feuille saisie commune'!$F$16="Fosse stockage 2", IF('Feuille saisie commune'!$C$16="Porcs charcutiers", 'Porc (Effectif détaillé)'!$R$50, 0), 0)+IF('Feuille saisie commune'!$F$17="Fosse stockage 2", IF('Feuille saisie commune'!$C$17="Porcs charcutiers", 'Porc (Effectif détaillé)'!$R$50, 0), 0)+IF('Feuille saisie commune'!$F$47="Fosse stockage 2", IF('Feuille saisie commune'!$B$48="Porcs charcutiers", 'Porc (Effectif détaillé)'!$R$50, 0), 0)+                                                                                                                                                                                            IF('Feuille saisie commune'!$F$15="Fosse stockage 2", IF('Feuille saisie commune'!$C$15="Truies et verrats", 'Porc (Effectif détaillé)'!$R$51, 0), 0)+IF('Feuille saisie commune'!$F$16="Fosse stockage 2", IF('Feuille saisie commune'!$C$16="Truies et verrats", 'Porc (Effectif détaillé)'!$R$51, 0), 0)+IF('Feuille saisie commune'!$F$17="Fosse stockage 2", IF('Feuille saisie commune'!$C$17="Truies et verrats", 'Porc (Effectif détaillé)'!$R$51, 0), 0)+IF('Feuille saisie commune'!$F$47="Fosse stockage 2", IF('Feuille saisie commune'!$B$48="Truies et verrats", 'Porc (Effectif détaillé)'!$R$51, 0), 0)+                                                                                                                                                                                                                                               IF('Feuille saisie commune'!$F$15="Fosse stockage 2", IF('Feuille saisie commune'!$C$15="Post-sevrage", 'Porc (Effectif détaillé)'!$R$49, 0), 0)+IF('Feuille saisie commune'!$F$16="Fosse stockage 2", IF('Feuille saisie commune'!$C$16="Post-sevrage", 'Porc (Effectif détaillé)'!$R$49, 0), 0)+IF('Feuille saisie commune'!$F$17="Fosse stockage 2", IF('Feuille saisie commune'!$C$17="Post-sevrage", 'Porc (Effectif détaillé)'!$R$49, 0), 0)+IF('Feuille saisie commune'!$F$47="Fosse stockage 2", IF('Feuille saisie commune'!$B$48="Post-sevrage", 'Porc (Effectif détaillé)'!$R$49, 0), 0)</f>
        <v>0</v>
      </c>
      <c r="F99" s="163">
        <f>IF('Feuille saisie commune'!$F$15="Fosse stockage 2", IF('Feuille saisie commune'!$C$15="Porcs charcutiers", 'Porc (Effectif détaillé)'!$L$51+'Porc (Effectif détaillé)'!$L$52+'Porc (Effectif détaillé)'!$L$54*0.6, 0), 0)+IF('Feuille saisie commune'!$F$16="Fosse stockage 2", IF('Feuille saisie commune'!$C$16="Porcs charcutiers", 'Porc (Effectif détaillé)'!$L$51+'Porc (Effectif détaillé)'!$L$52+'Porc (Effectif détaillé)'!$L$54*0.6, 0), 0)+IF('Feuille saisie commune'!$F$17="Fosse stockage 2", IF('Feuille saisie commune'!$C$17="Porcs charcutiers", 'Porc (Effectif détaillé)'!$L$51+'Porc (Effectif détaillé)'!$L$52+'Porc (Effectif détaillé)'!$L$54*0.6, 0), 0)+IF('Feuille saisie commune'!$F$47="Fosse stockage 2", IF('Feuille saisie commune'!$B$48="Porcs charcutiers", 'Porc (Effectif détaillé)'!$L$51+'Porc (Effectif détaillé)'!$L$52+'Porc (Effectif détaillé)'!$L$54*0.6, 0), 0)+                                                                                                                                   IF('Feuille saisie commune'!$F$15="Fosse stockage 2", IF('Feuille saisie commune'!$C$15="Truies et verrats", 'Porc (Effectif détaillé)'!$L$49+'Porc (Effectif détaillé)'!$L$53+'Porc (Effectif détaillé)'!$L$54*0.4, 0), 0)+IF('Feuille saisie commune'!$F$16="Fosse stockage 2", IF('Feuille saisie commune'!$C$16="Truies et verrats", 'Porc (Effectif détaillé)'!$L$49+'Porc (Effectif détaillé)'!$L$53+'Porc (Effectif détaillé)'!$L$54*0.4, 0), 0)+IF('Feuille saisie commune'!$F$17="Fosse stockage 2", IF('Feuille saisie commune'!$C$17="Truies et verrats", 'Porc (Effectif détaillé)'!$I$49+'Porc (Effectif détaillé)'!$I$53+'Porc (Effectif détaillé)'!$I$54*0.4, 0), 0)+IF('Feuille saisie commune'!$F$47="Fosse stockage 2", IF('Feuille saisie commune'!$B$48="Truies et verrats", 'Porc (Effectif détaillé)'!$L$49+'Porc (Effectif détaillé)'!$L$53+'Porc (Effectif détaillé)'!$L$54*0.4, 0), 0)+                                                                                                                                                                                                              IF('Feuille saisie commune'!$F$15="Fosse stockage 2", IF('Feuille saisie commune'!$C$15="Post-sevrage", 'Porc (Effectif détaillé)'!$L$50, 0), 0)+IF('Feuille saisie commune'!$F$16="Fosse stockage 2", IF('Feuille saisie commune'!$C$16="Post-sevrage", 'Porc (Effectif détaillé)'!$L$50, 0), 0)+IF('Feuille saisie commune'!$F$17="Fosse stockage 2", IF('Feuille saisie commune'!$C$17="Post-sevrage", 'Porc (Effectif détaillé)'!$L$50, 0), 0)+IF('Feuille saisie commune'!$F$47="Fosse stockage 2", IF('Feuille saisie commune'!$B$48="Post-sevrage", 'Porc (Effectif détaillé)'!$L$50, 0), 0)</f>
        <v>0</v>
      </c>
      <c r="G99" s="152">
        <f t="shared" si="3"/>
        <v>0</v>
      </c>
      <c r="H99" s="153" t="s">
        <v>602</v>
      </c>
      <c r="I99" s="112"/>
    </row>
    <row r="100" spans="1:9" x14ac:dyDescent="0.25">
      <c r="B100" s="148" t="s">
        <v>596</v>
      </c>
      <c r="C100" s="154">
        <f>IF('Feuille saisie commune'!$F$15="Fosse stockage 2", IF('Feuille saisie commune'!$C$15="Porcs charcutiers", 'Porc (Effectif détaillé)'!$P$44, 0), 0)+IF('Feuille saisie commune'!$F$16="Fosse stockage 2", IF('Feuille saisie commune'!$C$16="Porcs charcutiers", 'Porc (Effectif détaillé)'!$P$44, 0), 0)+IF('Feuille saisie commune'!$F$17="Fosse stockage 2", IF('Feuille saisie commune'!$C$17="Porcs charcutiers", 'Porc (Effectif détaillé)'!$P$44, 0), 0)+IF('Feuille saisie commune'!$F$47="Fosse stockage 2", IF('Feuille saisie commune'!$B$48="Porcs charcutiers", 'Porc (Effectif détaillé)'!$P$44, 0), 0)+                                                                                                                                                                                              IF('Feuille saisie commune'!$F$15="Fosse stockage 2", IF('Feuille saisie commune'!$C$15="Truies et verrats", 'Porc (Effectif détaillé)'!$P$41+'Porc (Effectif détaillé)'!$P$42, 0), 0)+IF('Feuille saisie commune'!$F$16="Fosse stockage 2", IF('Feuille saisie commune'!$C$16="Truies et verrats", 'Porc (Effectif détaillé)'!$P$41+'Porc (Effectif détaillé)'!$P$42, 0), 0)+IF('Feuille saisie commune'!$F$17="Fosse stockage 2", IF('Feuille saisie commune'!$C$17="Truies et verrats", 'Porc (Effectif détaillé)'!$P$41+'Porc (Effectif détaillé)'!$P$42, 0), 0)+IF('Feuille saisie commune'!$F$47="Fosse stockage 2", IF('Feuille saisie commune'!$B$48="Truies et verrats", 'Porc (Effectif détaillé)'!$P$41+'Porc (Effectif détaillé)'!$P$42, 0), 0)+                                                                                                            IF('Feuille saisie commune'!$F$15="Fosse stockage 2", IF('Feuille saisie commune'!$C$15="Post-sevrage", 'Porc (Effectif détaillé)'!$P$43, 0), 0)+IF('Feuille saisie commune'!$F$16="Fosse stockage 2", IF('Feuille saisie commune'!$C$16="Post-sevrage", 'Porc (Effectif détaillé)'!$P$43, 0), 0)+IF('Feuille saisie commune'!$F$17="Fosse stockage 2", IF('Feuille saisie commune'!$C$17="Post-sevrage", 'Porc (Effectif détaillé)'!$P$43, 0), 0)+IF('Feuille saisie commune'!$F$47="Fosse stockage 2", IF('Feuille saisie commune'!$B$48="Post-sevrage", 'Porc (Effectif détaillé)'!$P$43, 0), 0)</f>
        <v>0</v>
      </c>
      <c r="D100" s="154">
        <f>IF('Feuille saisie commune'!$F$15="Fosse stockage 2", IF('Feuille saisie commune'!$C$15="Porcs charcutiers", 'Porc (Effectif détaillé)'!$Q$44, 0), 0)+IF('Feuille saisie commune'!$F$16="Fosse stockage 2", IF('Feuille saisie commune'!$C$16="Porcs charcutiers", 'Porc (Effectif détaillé)'!$Q$44, 0), 0)+IF('Feuille saisie commune'!$F$17="Fosse stockage 2", IF('Feuille saisie commune'!$C$17="Porcs charcutiers", 'Porc (Effectif détaillé)'!$Q$44, 0), 0)+IF('Feuille saisie commune'!$F$47="Fosse stockage 2", IF('Feuille saisie commune'!$B$48="Porcs charcutiers", 'Porc (Effectif détaillé)'!$Q$44, 0), 0)+                                                                                                                                                                                              IF('Feuille saisie commune'!$F$15="Fosse stockage 2", IF('Feuille saisie commune'!$C$15="Truies et verrats", 'Porc (Effectif détaillé)'!$Q$41+'Porc (Effectif détaillé)'!$Q$42, 0), 0)+IF('Feuille saisie commune'!$F$16="Fosse stockage 2", IF('Feuille saisie commune'!$C$16="Truies et verrats", 'Porc (Effectif détaillé)'!$Q$41+'Porc (Effectif détaillé)'!$Q$42, 0), 0)+IF('Feuille saisie commune'!$F$17="Fosse stockage 2", IF('Feuille saisie commune'!$C$17="Truies et verrats", 'Porc (Effectif détaillé)'!$Q$41+'Porc (Effectif détaillé)'!$Q$42, 0), 0)+IF('Feuille saisie commune'!$F$47="Fosse stockage 2", IF('Feuille saisie commune'!$B$48="Truies et verrats", 'Porc (Effectif détaillé)'!$Q$41+'Porc (Effectif détaillé)'!$Q$42, 0), 0)+                                                                                                                                               IF('Feuille saisie commune'!$F$15="Fosse stockage 2", IF('Feuille saisie commune'!$C$15="Post-sevrage", 'Porc (Effectif détaillé)'!$Q$43, 0), 0)+IF('Feuille saisie commune'!$F$16="Fosse stockage 2", IF('Feuille saisie commune'!$C$16="Post-sevrage", 'Porc (Effectif détaillé)'!$Q$43, 0), 0)+IF('Feuille saisie commune'!$F$17="Fosse stockage 2", IF('Feuille saisie commune'!$C$17="Post-sevrage", 'Porc (Effectif détaillé)'!$Q$43, 0), 0)+IF('Feuille saisie commune'!$F$47="Fosse stockage 2", IF('Feuille saisie commune'!$B$48="Post-sevrage", 'Porc (Effectif détaillé)'!$Q$43, 0), 0)</f>
        <v>0</v>
      </c>
      <c r="E100" s="166">
        <f>IF('Feuille saisie commune'!$F$15="Fosse stockage 2", IF('Feuille saisie commune'!$C$15="Porcs charcutiers", 'Porc (Effectif détaillé)'!$S$50, 0), 0)+IF('Feuille saisie commune'!$F$16="Fosse stockage 2", IF('Feuille saisie commune'!$C$16="Porcs charcutiers", 'Porc (Effectif détaillé)'!$S$50, 0), 0)+IF('Feuille saisie commune'!$F$17="Fosse stockage 2", IF('Feuille saisie commune'!$C$17="Porcs charcutiers", 'Porc (Effectif détaillé)'!$S$50, 0), 0)+IF('Feuille saisie commune'!$F$47="Fosse stockage 2", IF('Feuille saisie commune'!$B$48="Porcs charcutiers", 'Porc (Effectif détaillé)'!$S$50, 0), 0)+                                                                                                                                                                                            IF('Feuille saisie commune'!$F$15="Fosse stockage 2", IF('Feuille saisie commune'!$C$15="Truies et verrats", 'Porc (Effectif détaillé)'!$S$51, 0), 0)+IF('Feuille saisie commune'!$F$16="Fosse stockage 2", IF('Feuille saisie commune'!$C$16="Truies et verrats", 'Porc (Effectif détaillé)'!$S$51, 0), 0)+IF('Feuille saisie commune'!$F$17="Fosse stockage 2", IF('Feuille saisie commune'!$C$17="Truies et verrats", 'Porc (Effectif détaillé)'!$S$51, 0), 0)+IF('Feuille saisie commune'!$F$47="Fosse stockage 2", IF('Feuille saisie commune'!$B$48="Truies et verrats", 'Porc (Effectif détaillé)'!$S$51, 0), 0)+                                                                                                                                                                                                                                               IF('Feuille saisie commune'!$F$15="Fosse stockage 2", IF('Feuille saisie commune'!$C$15="Post-sevrage", 'Porc (Effectif détaillé)'!$S$49, 0), 0)+IF('Feuille saisie commune'!$F$16="Fosse stockage 2", IF('Feuille saisie commune'!$C$16="Post-sevrage", 'Porc (Effectif détaillé)'!$S$49, 0), 0)+IF('Feuille saisie commune'!$F$17="Fosse stockage 2", IF('Feuille saisie commune'!$C$17="Post-sevrage", 'Porc (Effectif détaillé)'!$S$49, 0), 0)+IF('Feuille saisie commune'!$F$47="Fosse stockage 2", IF('Feuille saisie commune'!$B$48="Post-sevrage", 'Porc (Effectif détaillé)'!$S$49, 0), 0)</f>
        <v>0</v>
      </c>
      <c r="F100" s="166">
        <f>IF('Feuille saisie commune'!$F$15="Fosse stockage 2", IF('Feuille saisie commune'!$C$15="Porcs charcutiers", 'Porc (Effectif détaillé)'!$M$51+'Porc (Effectif détaillé)'!$M$52+'Porc (Effectif détaillé)'!$M$54*0.6, 0), 0)+IF('Feuille saisie commune'!$F$16="Fosse stockage 2", IF('Feuille saisie commune'!$C$16="Porcs charcutiers", 'Porc (Effectif détaillé)'!$M$51+'Porc (Effectif détaillé)'!$M$52+'Porc (Effectif détaillé)'!$M$54*0.6, 0), 0)+IF('Feuille saisie commune'!$F$17="Fosse stockage 2", IF('Feuille saisie commune'!$C$17="Porcs charcutiers", 'Porc (Effectif détaillé)'!$M$51+'Porc (Effectif détaillé)'!$M$52+'Porc (Effectif détaillé)'!$M$54*0.6, 0), 0)+IF('Feuille saisie commune'!$F$47="Fosse stockage 2", IF('Feuille saisie commune'!$B$48="Porcs charcutiers", 'Porc (Effectif détaillé)'!$M$51+'Porc (Effectif détaillé)'!$M$52+'Porc (Effectif détaillé)'!$M$54*0.6, 0), 0)+                                                                                                                                   IF('Feuille saisie commune'!$F$15="Fosse stockage 2", IF('Feuille saisie commune'!$C$15="Truies et verrats", 'Porc (Effectif détaillé)'!$M$49+'Porc (Effectif détaillé)'!$M$53+'Porc (Effectif détaillé)'!$M$54*0.4, 0), 0)+IF('Feuille saisie commune'!$F$16="Fosse stockage 2", IF('Feuille saisie commune'!$C$16="Truies et verrats", 'Porc (Effectif détaillé)'!$M$49+'Porc (Effectif détaillé)'!$M$53+'Porc (Effectif détaillé)'!$M$54*0.4, 0), 0)+IF('Feuille saisie commune'!$F$17="Fosse stockage 2", IF('Feuille saisie commune'!$C$17="Truies et verrats", 'Porc (Effectif détaillé)'!$M$49+'Porc (Effectif détaillé)'!$M$53+'Porc (Effectif détaillé)'!$M$54*0.4, 0), 0)+IF('Feuille saisie commune'!$F$47="Fosse stockage 2", IF('Feuille saisie commune'!$B$48="Truies et verrats", 'Porc (Effectif détaillé)'!$M$49+'Porc (Effectif détaillé)'!$M$53+'Porc (Effectif détaillé)'!$M$54*0.4, 0), 0)+                                                                                                                                                                                                              IF('Feuille saisie commune'!$F$15="Fosse stockage 2", IF('Feuille saisie commune'!$C$15="Post-sevrage", 'Porc (Effectif détaillé)'!$M$50, 0), 0)+IF('Feuille saisie commune'!$F$16="Fosse stockage 2", IF('Feuille saisie commune'!$C$16="Post-sevrage", 'Porc (Effectif détaillé)'!$M$50, 0), 0)+IF('Feuille saisie commune'!$F$17="Fosse stockage 2", IF('Feuille saisie commune'!$C$17="Post-sevrage", 'Porc (Effectif détaillé)'!$M$50, 0), 0)+IF('Feuille saisie commune'!$F$47="Fosse stockage 2", IF('Feuille saisie commune'!$B$48="Post-sevrage", 'Porc (Effectif détaillé)'!$M$50, 0), 0)</f>
        <v>0</v>
      </c>
      <c r="G100" s="152">
        <f t="shared" si="3"/>
        <v>0</v>
      </c>
      <c r="H100" s="153"/>
      <c r="I100" s="112"/>
    </row>
    <row r="101" spans="1:9" x14ac:dyDescent="0.25">
      <c r="B101" s="155" t="s">
        <v>597</v>
      </c>
      <c r="C101" s="156">
        <f>IF('Feuille saisie commune'!$F$15="Fosse stockage 2", IF('Feuille saisie commune'!$C$15="Porcs charcutiers", 'Porc (Effectif détaillé)'!$R$44, 0), 0)+IF('Feuille saisie commune'!$F$16="Fosse stockage 2", IF('Feuille saisie commune'!$C$16="Porcs charcutiers", 'Porc (Effectif détaillé)'!$R$44, 0), 0)+IF('Feuille saisie commune'!$F$17="Fosse stockage 2", IF('Feuille saisie commune'!$C$17="Porcs charcutiers", 'Porc (Effectif détaillé)'!$R$44, 0), 0)+IF('Feuille saisie commune'!$F$47="Fosse stockage 2", IF('Feuille saisie commune'!$B$48="Porcs charcutiers", 'Porc (Effectif détaillé)'!$R$44, 0), 0) +                                                                                                                                                                                            IF('Feuille saisie commune'!$F$15="Fosse stockage 2", IF('Feuille saisie commune'!$C$15="Truies et verrats", 'Porc (Effectif détaillé)'!$R$41+'Porc (Effectif détaillé)'!$R$42, 0), 0)+IF('Feuille saisie commune'!$F$16="Fosse stockage 2", IF('Feuille saisie commune'!$C$16="Truies et verrats", 'Porc (Effectif détaillé)'!$R$41+'Porc (Effectif détaillé)'!$R$42, 0), 0)+IF('Feuille saisie commune'!$F$17="Fosse stockage 2", IF('Feuille saisie commune'!$C$17="Truies et verrats", 'Porc (Effectif détaillé)'!$R$41+'Porc (Effectif détaillé)'!$R$42, 0), 0)+IF('Feuille saisie commune'!$F$47="Fosse stockage 2", IF('Feuille saisie commune'!$B$48="Truies et verrats", 'Porc (Effectif détaillé)'!$R$41+'Porc (Effectif détaillé)'!$R$42, 0), 0)+                                                                                                            IF('Feuille saisie commune'!$F$15="Fosse stockage 2", IF('Feuille saisie commune'!$C$15="Post-sevrage", 'Porc (Effectif détaillé)'!$R$43, 0), 0)+IF('Feuille saisie commune'!$F$16="Fosse stockage 2", IF('Feuille saisie commune'!$C$16="Post-sevrage", 'Porc (Effectif détaillé)'!$R$43, 0), 0)+IF('Feuille saisie commune'!$F$17="Fosse stockage 2", IF('Feuille saisie commune'!$C$17="Post-sevrage", 'Porc (Effectif détaillé)'!$R$43, 0), 0)+IF('Feuille saisie commune'!$F$47="Fosse stockage 2", IF('Feuille saisie commune'!$B$48="Post-sevrage", 'Porc (Effectif détaillé)'!$R$43, 0), 0)</f>
        <v>0</v>
      </c>
      <c r="D101" s="156">
        <f>IF('Feuille saisie commune'!$F$15="Fosse stockage 2", IF('Feuille saisie commune'!$C$15="Porcs charcutiers", 'Porc (Effectif détaillé)'!$S$44, 0), 0)+IF('Feuille saisie commune'!$F$16="Fosse stockage 2", IF('Feuille saisie commune'!$C$16="Porcs charcutiers", 'Porc (Effectif détaillé)'!$S$44, 0), 0)+IF('Feuille saisie commune'!$F$17="Fosse stockage 2", IF('Feuille saisie commune'!$C$17="Porcs charcutiers", 'Porc (Effectif détaillé)'!$S$44, 0), 0)+IF('Feuille saisie commune'!$F$47="Fosse stockage 2", IF('Feuille saisie commune'!$B$48="Porcs charcutiers", 'Porc (Effectif détaillé)'!$S$44, 0), 0)+                                                                                                                                                                                               IF('Feuille saisie commune'!$F$15="Fosse stockage 2", IF('Feuille saisie commune'!$C$15="Truies et verrats", 'Porc (Effectif détaillé)'!$S$41+'Porc (Effectif détaillé)'!$S$42, 0), 0)+IF('Feuille saisie commune'!$F$16="Fosse stockage 2", IF('Feuille saisie commune'!$C$16="Truies et verrats", 'Porc (Effectif détaillé)'!$S$41+'Porc (Effectif détaillé)'!$S$42, 0), 0)+IF('Feuille saisie commune'!$F$17="Fosse stockage 2", IF('Feuille saisie commune'!$C$17="Truies et verrats", 'Porc (Effectif détaillé)'!$S$41+'Porc (Effectif détaillé)'!$S$42, 0), 0)+IF('Feuille saisie commune'!$F$47="Fosse stockage 2", IF('Feuille saisie commune'!$B$48="Truies et verrats", 'Porc (Effectif détaillé)'!$S$41+'Porc (Effectif détaillé)'!$S$42, 0), 0)+                                                                                                           IF('Feuille saisie commune'!$F$15="Fosse stockage 2", IF('Feuille saisie commune'!$C$15="Post-sevrage", 'Porc (Effectif détaillé)'!$S$43, 0), 0)+IF('Feuille saisie commune'!$F$16="Fosse stockage 2", IF('Feuille saisie commune'!$C$16="Post-sevrage", 'Porc (Effectif détaillé)'!$S$43, 0), 0)+IF('Feuille saisie commune'!$F$17="Fosse stockage 2", IF('Feuille saisie commune'!$C$17="Post-sevrage", 'Porc (Effectif détaillé)'!$S$43, 0), 0)+IF('Feuille saisie commune'!$F$47="Fosse stockage 2", IF('Feuille saisie commune'!$B$48="Post-sevrage", 'Porc (Effectif détaillé)'!$S$43, 0), 0)</f>
        <v>0</v>
      </c>
      <c r="E101" s="167">
        <f>IF('Feuille saisie commune'!$F$15="Fosse stockage 2", IF('Feuille saisie commune'!$C$15="Porcs charcutiers", 'Porc (Effectif détaillé)'!$T$50, 0), 0)+IF('Feuille saisie commune'!$F$16="Fosse stockage 2", IF('Feuille saisie commune'!$C$16="Porcs charcutiers", 'Porc (Effectif détaillé)'!$T$50, 0), 0)+IF('Feuille saisie commune'!$F$17="Fosse stockage 2", IF('Feuille saisie commune'!$C$17="Porcs charcutiers", 'Porc (Effectif détaillé)'!$T$50, 0), 0)+IF('Feuille saisie commune'!$F$47="Fosse stockage 2", IF('Feuille saisie commune'!$B$48="Porcs charcutiers", 'Porc (Effectif détaillé)'!$T$50, 0), 0)+                                                                                                                                                                                            IF('Feuille saisie commune'!$F$15="Fosse stockage 2", IF('Feuille saisie commune'!$C$15="Truies et verrats", 'Porc (Effectif détaillé)'!$T$51, 0), 0)+IF('Feuille saisie commune'!$F$16="Fosse stockage 2", IF('Feuille saisie commune'!$C$16="Truies et verrats", 'Porc (Effectif détaillé)'!$T$51, 0), 0)+IF('Feuille saisie commune'!$F$17="Fosse stockage 2", IF('Feuille saisie commune'!$C$17="Truies et verrats", 'Porc (Effectif détaillé)'!$T$51, 0), 0)+IF('Feuille saisie commune'!$F$47="Fosse stockage 2", IF('Feuille saisie commune'!$B$48="Truies et verrats", 'Porc (Effectif détaillé)'!$T$51, 0), 0)+                                                                                                                                                                                                                                               IF('Feuille saisie commune'!$F$15="Fosse stockage 2", IF('Feuille saisie commune'!$C$15="Post-sevrage", 'Porc (Effectif détaillé)'!$T$49, 0), 0)+IF('Feuille saisie commune'!$F$16="Fosse stockage 2", IF('Feuille saisie commune'!$C$16="Post-sevrage", 'Porc (Effectif détaillé)'!$T$49, 0), 0)+IF('Feuille saisie commune'!$F$17="Fosse stockage 2", IF('Feuille saisie commune'!$C$17="Post-sevrage", 'Porc (Effectif détaillé)'!$T$49, 0), 0)+IF('Feuille saisie commune'!$F$47="Fosse stockage 2", IF('Feuille saisie commune'!$B$48="Post-sevrage", 'Porc (Effectif détaillé)'!$T$49, 0), 0)</f>
        <v>0</v>
      </c>
      <c r="F101" s="167">
        <f>IF('Feuille saisie commune'!$F$15="Fosse stockage 2", IF('Feuille saisie commune'!$C$15="Porcs charcutiers", 'Porc (Effectif détaillé)'!$N$51+'Porc (Effectif détaillé)'!$N$52+'Porc (Effectif détaillé)'!$N$54*0.6, 0), 0)+IF('Feuille saisie commune'!$F$16="Fosse stockage 2", IF('Feuille saisie commune'!$C$16="Porcs charcutiers", 'Porc (Effectif détaillé)'!$N$51+'Porc (Effectif détaillé)'!$N$52+'Porc (Effectif détaillé)'!$N$54*0.6, 0), 0)+IF('Feuille saisie commune'!$F$17="Fosse stockage 2", IF('Feuille saisie commune'!$C$17="Porcs charcutiers", 'Porc (Effectif détaillé)'!$N$51+'Porc (Effectif détaillé)'!$N$52+'Porc (Effectif détaillé)'!$N$54*0.6, 0), 0)+IF('Feuille saisie commune'!$F$47="Fosse stockage 2", IF('Feuille saisie commune'!$B$48="Porcs charcutiers", 'Porc (Effectif détaillé)'!$N$51+'Porc (Effectif détaillé)'!$N$52+'Porc (Effectif détaillé)'!$N$54*0.6, 0), 0)+                                                                                                                                   IF('Feuille saisie commune'!$F$15="Fosse stockage 2", IF('Feuille saisie commune'!$C$15="Truies et verrats", 'Porc (Effectif détaillé)'!$N$49+'Porc (Effectif détaillé)'!$N$53+'Porc (Effectif détaillé)'!$N$54*0.4, 0), 0)+IF('Feuille saisie commune'!$F$16="Fosse stockage 2", IF('Feuille saisie commune'!$C$16="Truies et verrats", 'Porc (Effectif détaillé)'!$N$49+'Porc (Effectif détaillé)'!$N$53+'Porc (Effectif détaillé)'!$N$54*0.4, 0), 0)+IF('Feuille saisie commune'!$F$17="Fosse stockage 2", IF('Feuille saisie commune'!$C$17="Truies et verrats", 'Porc (Effectif détaillé)'!$N$49+'Porc (Effectif détaillé)'!$N$53+'Porc (Effectif détaillé)'!$N$54*0.4, 0), 0)+IF('Feuille saisie commune'!$F$47="Fosse stockage 2", IF('Feuille saisie commune'!$B$48="Truies et verrats", 'Porc (Effectif détaillé)'!$N$49+'Porc (Effectif détaillé)'!$N$53+'Porc (Effectif détaillé)'!$N$54*0.4, 0), 0)+                                                                                                                                                                                                              IF('Feuille saisie commune'!$F$15="Fosse stockage 2", IF('Feuille saisie commune'!$C$15="Post-sevrage", 'Porc (Effectif détaillé)'!$N$50, 0), 0)+IF('Feuille saisie commune'!$F$16="Fosse stockage 2", IF('Feuille saisie commune'!$C$16="Post-sevrage", 'Porc (Effectif détaillé)'!$N$50, 0), 0)+IF('Feuille saisie commune'!$F$17="Fosse stockage 2", IF('Feuille saisie commune'!$C$17="Post-sevrage", 'Porc (Effectif détaillé)'!$N$50, 0), 0)+IF('Feuille saisie commune'!$F$47="Fosse stockage 2", IF('Feuille saisie commune'!$B$48="Post-sevrage", 'Porc (Effectif détaillé)'!$N$50, 0), 0)</f>
        <v>0</v>
      </c>
      <c r="G101" s="170">
        <f t="shared" si="3"/>
        <v>0</v>
      </c>
      <c r="H101" s="158"/>
      <c r="I101" s="12"/>
    </row>
    <row r="102" spans="1:9" x14ac:dyDescent="0.25">
      <c r="B102" s="147" t="s">
        <v>603</v>
      </c>
      <c r="C102" s="148"/>
      <c r="D102" s="148"/>
      <c r="E102" s="148"/>
      <c r="F102" s="148"/>
      <c r="G102" s="149"/>
      <c r="H102" s="150"/>
      <c r="I102" s="12"/>
    </row>
    <row r="103" spans="1:9" x14ac:dyDescent="0.25">
      <c r="B103" s="148" t="s">
        <v>589</v>
      </c>
      <c r="C103" s="110" t="s">
        <v>50</v>
      </c>
      <c r="D103" s="110" t="s">
        <v>50</v>
      </c>
      <c r="E103" s="151"/>
      <c r="F103" s="110" t="s">
        <v>50</v>
      </c>
      <c r="G103" s="152">
        <f>+E103</f>
        <v>0</v>
      </c>
      <c r="H103" s="150"/>
      <c r="I103" s="12"/>
    </row>
    <row r="104" spans="1:9" x14ac:dyDescent="0.25">
      <c r="B104" s="148" t="s">
        <v>590</v>
      </c>
      <c r="C104" s="110" t="s">
        <v>50</v>
      </c>
      <c r="D104" s="110" t="s">
        <v>50</v>
      </c>
      <c r="E104" s="151">
        <v>0</v>
      </c>
      <c r="F104" s="110" t="s">
        <v>50</v>
      </c>
      <c r="G104" s="152">
        <f>+E104</f>
        <v>0</v>
      </c>
      <c r="H104" s="153" t="s">
        <v>591</v>
      </c>
      <c r="I104" s="12"/>
    </row>
    <row r="105" spans="1:9" x14ac:dyDescent="0.25">
      <c r="B105" s="148" t="s">
        <v>592</v>
      </c>
      <c r="C105" s="110" t="s">
        <v>50</v>
      </c>
      <c r="D105" s="110" t="s">
        <v>50</v>
      </c>
      <c r="E105" s="151">
        <v>0</v>
      </c>
      <c r="F105" s="110" t="s">
        <v>50</v>
      </c>
      <c r="G105" s="152">
        <f>+E105</f>
        <v>0</v>
      </c>
      <c r="H105" s="153" t="s">
        <v>593</v>
      </c>
      <c r="I105" s="12"/>
    </row>
    <row r="106" spans="1:9" x14ac:dyDescent="0.25">
      <c r="B106" s="155" t="s">
        <v>594</v>
      </c>
      <c r="C106" s="168" t="s">
        <v>50</v>
      </c>
      <c r="D106" s="168" t="s">
        <v>50</v>
      </c>
      <c r="E106" s="169">
        <v>0</v>
      </c>
      <c r="F106" s="168" t="s">
        <v>50</v>
      </c>
      <c r="G106" s="170">
        <f>+E106</f>
        <v>0</v>
      </c>
      <c r="H106" s="158" t="s">
        <v>595</v>
      </c>
      <c r="I106" s="12"/>
    </row>
    <row r="107" spans="1:9" x14ac:dyDescent="0.25">
      <c r="B107" s="155" t="s">
        <v>594</v>
      </c>
      <c r="C107" s="168" t="s">
        <v>50</v>
      </c>
      <c r="D107" s="168" t="s">
        <v>50</v>
      </c>
      <c r="E107" s="169">
        <v>0</v>
      </c>
      <c r="F107" s="168" t="s">
        <v>50</v>
      </c>
      <c r="G107" s="170">
        <f>+E107</f>
        <v>0</v>
      </c>
      <c r="H107" s="158" t="s">
        <v>595</v>
      </c>
      <c r="I107" s="12"/>
    </row>
    <row r="108" spans="1:9" x14ac:dyDescent="0.25">
      <c r="C108" s="12"/>
      <c r="D108" s="12"/>
      <c r="E108" s="12"/>
      <c r="F108" s="12"/>
      <c r="G108" s="12"/>
      <c r="H108" s="12"/>
      <c r="I108" s="12"/>
    </row>
    <row r="111" spans="1:9" x14ac:dyDescent="0.25">
      <c r="A111" s="186" t="s">
        <v>651</v>
      </c>
    </row>
    <row r="112" spans="1:9" x14ac:dyDescent="0.25">
      <c r="B112" s="99"/>
      <c r="C112" s="111"/>
      <c r="D112" s="111"/>
      <c r="E112" s="112"/>
      <c r="F112" s="112"/>
      <c r="G112" s="1143" t="s">
        <v>564</v>
      </c>
      <c r="H112" s="1144"/>
      <c r="I112" s="12"/>
    </row>
    <row r="113" spans="2:10" x14ac:dyDescent="0.25">
      <c r="B113" s="208"/>
      <c r="C113" s="111"/>
      <c r="D113" s="111"/>
      <c r="E113" s="116"/>
      <c r="F113" s="117"/>
      <c r="G113" s="1145" t="s">
        <v>565</v>
      </c>
      <c r="H113" s="1146"/>
      <c r="I113" s="12"/>
    </row>
    <row r="114" spans="2:10" x14ac:dyDescent="0.25">
      <c r="B114" s="99"/>
      <c r="C114" s="111"/>
      <c r="D114" s="111"/>
      <c r="E114" s="118" t="s">
        <v>930</v>
      </c>
      <c r="F114" s="118"/>
      <c r="G114" s="1151">
        <f>K331</f>
        <v>57</v>
      </c>
      <c r="H114" s="1152"/>
      <c r="I114" s="12"/>
    </row>
    <row r="115" spans="2:10" x14ac:dyDescent="0.25">
      <c r="B115" s="99"/>
      <c r="C115" s="111"/>
      <c r="D115" s="111"/>
      <c r="E115" s="114"/>
      <c r="F115" s="114"/>
      <c r="G115" s="184"/>
      <c r="H115" s="184"/>
      <c r="I115" s="185"/>
      <c r="J115" s="12"/>
    </row>
    <row r="116" spans="2:10" x14ac:dyDescent="0.25">
      <c r="B116" s="100"/>
      <c r="C116" s="111"/>
      <c r="D116" s="111"/>
      <c r="E116" s="111"/>
      <c r="F116" s="111"/>
      <c r="G116" s="111"/>
      <c r="H116" s="111"/>
      <c r="I116" s="112"/>
    </row>
    <row r="117" spans="2:10" x14ac:dyDescent="0.25">
      <c r="B117" s="100"/>
      <c r="C117" s="111"/>
      <c r="D117" s="111"/>
      <c r="E117" s="111"/>
      <c r="F117" s="111"/>
      <c r="G117" s="111"/>
      <c r="H117" s="111"/>
      <c r="I117" s="112"/>
    </row>
    <row r="118" spans="2:10" x14ac:dyDescent="0.25">
      <c r="B118" s="101" t="s">
        <v>566</v>
      </c>
      <c r="C118" s="119" t="s">
        <v>567</v>
      </c>
      <c r="D118" s="1149" t="s">
        <v>568</v>
      </c>
      <c r="E118" s="1150"/>
      <c r="F118" s="1149" t="s">
        <v>569</v>
      </c>
      <c r="G118" s="1150"/>
      <c r="H118" s="119" t="s">
        <v>570</v>
      </c>
      <c r="I118" s="120" t="s">
        <v>571</v>
      </c>
    </row>
    <row r="119" spans="2:10" x14ac:dyDescent="0.25">
      <c r="B119" s="121"/>
      <c r="C119" s="122" t="s">
        <v>17</v>
      </c>
      <c r="D119" s="204" t="s">
        <v>560</v>
      </c>
      <c r="E119" s="205" t="s">
        <v>572</v>
      </c>
      <c r="F119" s="204" t="s">
        <v>561</v>
      </c>
      <c r="G119" s="205" t="s">
        <v>573</v>
      </c>
      <c r="H119" s="122" t="s">
        <v>17</v>
      </c>
      <c r="I119" s="205" t="s">
        <v>17</v>
      </c>
    </row>
    <row r="120" spans="2:10" x14ac:dyDescent="0.25">
      <c r="B120" s="125" t="s">
        <v>574</v>
      </c>
      <c r="C120" s="126">
        <f>G132</f>
        <v>0</v>
      </c>
      <c r="D120" s="127">
        <f>G133</f>
        <v>0</v>
      </c>
      <c r="E120" s="128" t="s">
        <v>50</v>
      </c>
      <c r="F120" s="126">
        <f>G134</f>
        <v>0</v>
      </c>
      <c r="G120" s="129" t="s">
        <v>50</v>
      </c>
      <c r="H120" s="130" t="str">
        <f>IF(G135&gt;0,G135,"-")</f>
        <v>-</v>
      </c>
      <c r="I120" s="131" t="str">
        <f>IF(G136&gt;0,G136,"-")</f>
        <v>-</v>
      </c>
    </row>
    <row r="121" spans="2:10" x14ac:dyDescent="0.25">
      <c r="B121" s="132" t="s">
        <v>575</v>
      </c>
      <c r="C121" s="133">
        <f>E146</f>
        <v>0</v>
      </c>
      <c r="D121" s="134">
        <f>E147</f>
        <v>0</v>
      </c>
      <c r="E121" s="135"/>
      <c r="F121" s="133">
        <f>E148</f>
        <v>0</v>
      </c>
      <c r="G121" s="136" t="s">
        <v>50</v>
      </c>
      <c r="H121" s="136" t="s">
        <v>50</v>
      </c>
      <c r="I121" s="136" t="s">
        <v>50</v>
      </c>
    </row>
    <row r="122" spans="2:10" x14ac:dyDescent="0.25">
      <c r="B122" s="132" t="s">
        <v>576</v>
      </c>
      <c r="C122" s="133">
        <f>D139-C139</f>
        <v>0</v>
      </c>
      <c r="D122" s="134">
        <f>D140-C140</f>
        <v>0</v>
      </c>
      <c r="E122" s="135" t="s">
        <v>50</v>
      </c>
      <c r="F122" s="133">
        <f>D141-C141</f>
        <v>0</v>
      </c>
      <c r="G122" s="136" t="s">
        <v>50</v>
      </c>
      <c r="H122" s="130" t="str">
        <f>IF(H120&lt;&gt;"-",D142-C142,H120)</f>
        <v>-</v>
      </c>
      <c r="I122" s="131" t="str">
        <f>IF(I120&lt;&gt;"-",D143-C143,I120)</f>
        <v>-</v>
      </c>
    </row>
    <row r="123" spans="2:10" x14ac:dyDescent="0.25">
      <c r="B123" s="132" t="s">
        <v>577</v>
      </c>
      <c r="C123" s="133">
        <f>F139-E139</f>
        <v>0</v>
      </c>
      <c r="D123" s="134">
        <f>F140-E140</f>
        <v>0</v>
      </c>
      <c r="E123" s="135" t="s">
        <v>50</v>
      </c>
      <c r="F123" s="133">
        <f>F141-E141</f>
        <v>0</v>
      </c>
      <c r="G123" s="136" t="s">
        <v>50</v>
      </c>
      <c r="H123" s="137" t="str">
        <f>IF(H120&lt;&gt;"-",F142-E142,H120)</f>
        <v>-</v>
      </c>
      <c r="I123" s="138" t="str">
        <f>IF(I120&lt;&gt;"-",F143-E143,I120)</f>
        <v>-</v>
      </c>
    </row>
    <row r="124" spans="2:10" x14ac:dyDescent="0.25">
      <c r="B124" s="132" t="s">
        <v>578</v>
      </c>
      <c r="C124" s="133">
        <f>C120-C122-C123</f>
        <v>0</v>
      </c>
      <c r="D124" s="134">
        <f>D120-D122-D123</f>
        <v>0</v>
      </c>
      <c r="E124" s="139">
        <f>(30.97376*2+15.9994*5)/(30.97376*2)*D124</f>
        <v>0</v>
      </c>
      <c r="F124" s="134">
        <f>F120-F122-F123</f>
        <v>0</v>
      </c>
      <c r="G124" s="139">
        <f>+F124*1.2</f>
        <v>0</v>
      </c>
      <c r="H124" s="130" t="str">
        <f>IF(H120&lt;&gt;"-",H120-H122-H123,H120)</f>
        <v>-</v>
      </c>
      <c r="I124" s="140" t="str">
        <f>IF(I120&lt;&gt;"-",I120-I122-I123,I120)</f>
        <v>-</v>
      </c>
    </row>
    <row r="125" spans="2:10" x14ac:dyDescent="0.25">
      <c r="B125" s="141" t="s">
        <v>579</v>
      </c>
      <c r="C125" s="142">
        <f>C124*G114/100</f>
        <v>0</v>
      </c>
      <c r="D125" s="134" t="s">
        <v>580</v>
      </c>
      <c r="E125" s="143" t="s">
        <v>580</v>
      </c>
      <c r="F125" s="134" t="s">
        <v>580</v>
      </c>
      <c r="G125" s="143" t="s">
        <v>580</v>
      </c>
      <c r="H125" s="130" t="s">
        <v>580</v>
      </c>
      <c r="I125" s="130" t="s">
        <v>580</v>
      </c>
    </row>
    <row r="126" spans="2:10" x14ac:dyDescent="0.25">
      <c r="B126" s="144" t="s">
        <v>581</v>
      </c>
      <c r="C126" s="187">
        <f>IF('Porc (Aliments)'!$E$2="Méthode du BRS",C124+C121-C125,0)+ IF('Porc (Aliments)'!$E$2="Alimentation standard",'Porc (Effectif détaillé)'!O65)+IF('Porc (Aliments)'!$E$2="Alimentation biphase",'Porc (Effectif détaillé)'!O72,0)</f>
        <v>0</v>
      </c>
      <c r="D126" s="145">
        <f>D120+D121-D122-D123</f>
        <v>0</v>
      </c>
      <c r="E126" s="188">
        <f>IF('Porc (Aliments)'!$E$2="Méthode du BRS",(30.97376*2+15.9994*5)/(30.97376*2)*D126,0)+IF('Porc (Aliments)'!$E$2="Alimentation standard",'Porc (Effectif détaillé)'!P65)+IF('Porc (Aliments)'!$E$2="Alimentation biphase",'Porc (Effectif détaillé)'!P72,0)</f>
        <v>0</v>
      </c>
      <c r="F126" s="145">
        <f>F120+F121-F122-F123</f>
        <v>0</v>
      </c>
      <c r="G126" s="189">
        <f>IF('Porc (Aliments)'!$E$2="Méthode du BRS",F126*1.2,0)+IF('Porc (Aliments)'!$E$2="Alimentation standard",'Porc (Effectif détaillé)'!Q65,0)+IF('Porc (Aliments)'!$E$2="Alimentation biphase",'Porc (Effectif détaillé)'!Q72,0)</f>
        <v>0</v>
      </c>
      <c r="H126" s="190">
        <f>IF('Porc (Aliments)'!$E$2="Méthode du BRS",H124,(IF(Param_porcs!$G$16=31,('Porc (Effectif détaillé)'!$D$41+'Porc (Effectif détaillé)'!$C$41+'Porc (Effectif détaillé)'!$C$42+'Porc (Effectif détaillé)'!$D$42)/2*18.24,0)+IF(Param_porcs!$G$16=32,('Porc (Effectif détaillé)'!$D$44-'Porc (Effectif détaillé)'!$C$44+'Porc (Effectif détaillé)'!$C$51+'Porc (Effectif détaillé)'!$C$52)*4.17,0)+IF(Param_porcs!$G$16=33,('Porc (Effectif détaillé)'!$D$43-'Porc (Effectif détaillé)'!$C$43+'Porc (Effectif détaillé)'!$C$50+'Porc (Effectif détaillé)'!$C$51+'Porc (Effectif détaillé)'!$C$52)*6.04,0)+IF(Param_porcs!$G$17=31,('Porc (Effectif détaillé)'!$D$41+'Porc (Effectif détaillé)'!$C$41+'Porc (Effectif détaillé)'!$C$42+'Porc (Effectif détaillé)'!$D$42)/2*18.24,0)+IF(Param_porcs!$G$17=32,('Porc (Effectif détaillé)'!$D$44-'Porc (Effectif détaillé)'!$C$44+'Porc (Effectif détaillé)'!$C$51+'Porc (Effectif détaillé)'!$C$52)*4.17,0)+IF(Param_porcs!$G$17=33,('Porc (Effectif détaillé)'!$D$43-'Porc (Effectif détaillé)'!$C$43+'Porc (Effectif détaillé)'!$C$50+'Porc (Effectif détaillé)'!$C$51+'Porc (Effectif détaillé)'!$C$52)*6.04,0)+IF(Param_porcs!$G$18=31,('Porc (Effectif détaillé)'!$D$41+'Porc (Effectif détaillé)'!$C$41+'Porc (Effectif détaillé)'!$C$42+'Porc (Effectif détaillé)'!$D$42)/2*18.24,0)+IF(Param_porcs!$G$18=32,('Porc (Effectif détaillé)'!$D$44-'Porc (Effectif détaillé)'!$C$44+'Porc (Effectif détaillé)'!$C$51+'Porc (Effectif détaillé)'!$C$52)*4.17,0)+IF(Param_porcs!$G$18=33,('Porc (Effectif détaillé)'!$D$43-'Porc (Effectif détaillé)'!$C$43+'Porc (Effectif détaillé)'!$C$50+'Porc (Effectif détaillé)'!$C$51+'Porc (Effectif détaillé)'!$C$52)*6.04,0)+IF(Param_porcs!$G$19=31,('Porc (Effectif détaillé)'!$D$41+'Porc (Effectif détaillé)'!$C$41+'Porc (Effectif détaillé)'!$C$42+'Porc (Effectif détaillé)'!$D$42)/2*18.24,0)+IF(Param_porcs!$G$19=32,('Porc (Effectif détaillé)'!$D$44-'Porc (Effectif détaillé)'!$C$44+'Porc (Effectif détaillé)'!$C$51+'Porc (Effectif détaillé)'!$C$52)*4.17,0)+IF(Param_porcs!$G$19=33,('Porc (Effectif détaillé)'!$D$43-'Porc (Effectif détaillé)'!$C$43+'Porc (Effectif détaillé)'!$C$50+'Porc (Effectif détaillé)'!$C$51+'Porc (Effectif détaillé)'!$C$52)*6.04,0))/1000)</f>
        <v>0</v>
      </c>
      <c r="I126" s="191">
        <f>IF('Porc (Aliments)'!$E$2="Méthode du BRS",I124,(IF(Param_porcs!$G$16=31,('Porc (Effectif détaillé)'!$D$41+'Porc (Effectif détaillé)'!$C$41+'Porc (Effectif détaillé)'!$C$42+'Porc (Effectif détaillé)'!$D$42)/2*138,0)+IF(Param_porcs!$G$16=32,('Porc (Effectif détaillé)'!$D$44-'Porc (Effectif détaillé)'!$C$44+'Porc (Effectif détaillé)'!$C$51+'Porc (Effectif détaillé)'!$C$52)*22.42,0)+IF(Param_porcs!$G$16=33,('Porc (Effectif détaillé)'!$D$43-'Porc (Effectif détaillé)'!$C$43+'Porc (Effectif détaillé)'!$C$50+'Porc (Effectif détaillé)'!$C$51+'Porc (Effectif détaillé)'!$C$52)*4.92,0)+IF(Param_porcs!$G$17=31,('Porc (Effectif détaillé)'!$D$41+'Porc (Effectif détaillé)'!$C$41+'Porc (Effectif détaillé)'!$C$42+'Porc (Effectif détaillé)'!$D$42)/2*138,0)+IF(Param_porcs!$G$17=32,('Porc (Effectif détaillé)'!$D$44-'Porc (Effectif détaillé)'!$C$44+'Porc (Effectif détaillé)'!$C$51+'Porc (Effectif détaillé)'!$C$52)*22.42,0)+IF(Param_porcs!$G$17=33,('Porc (Effectif détaillé)'!$D$43-'Porc (Effectif détaillé)'!$C$43+'Porc (Effectif détaillé)'!$C$50+'Porc (Effectif détaillé)'!$C$51+'Porc (Effectif détaillé)'!$C$52)*4.92,0)+IF(Param_porcs!$G$18=31,('Porc (Effectif détaillé)'!$D$41+'Porc (Effectif détaillé)'!$C$41+'Porc (Effectif détaillé)'!$C$42+'Porc (Effectif détaillé)'!$D$42)/2*138,0)+IF(Param_porcs!$G$18=32,('Porc (Effectif détaillé)'!$D$44-'Porc (Effectif détaillé)'!$C$44+'Porc (Effectif détaillé)'!$C$51+'Porc (Effectif détaillé)'!$C$52)*22.42,0)+IF(Param_porcs!$G$18=33,('Porc (Effectif détaillé)'!$D$43-'Porc (Effectif détaillé)'!$C$43+'Porc (Effectif détaillé)'!$C$50+'Porc (Effectif détaillé)'!$C$51+'Porc (Effectif détaillé)'!$C$52)*4.92,0)+IF(Param_porcs!$G$19=31,('Porc (Effectif détaillé)'!$D$41+'Porc (Effectif détaillé)'!$C$41+'Porc (Effectif détaillé)'!$C$42+'Porc (Effectif détaillé)'!$D$42)/2*138,0)+IF(Param_porcs!$G$19=32,('Porc (Effectif détaillé)'!$D$44-'Porc (Effectif détaillé)'!$C$44+'Porc (Effectif détaillé)'!$C$51+'Porc (Effectif détaillé)'!$C$52)*22.42,0)+IF(Param_porcs!$G$19=33,('Porc (Effectif détaillé)'!$D$43-'Porc (Effectif détaillé)'!$C$43+'Porc (Effectif détaillé)'!$C$50+'Porc (Effectif détaillé)'!$C$51+'Porc (Effectif détaillé)'!$C$52)*4.92,0))/1000)</f>
        <v>0</v>
      </c>
    </row>
    <row r="127" spans="2:10" x14ac:dyDescent="0.25">
      <c r="B127" s="99"/>
      <c r="C127" s="111"/>
      <c r="D127" s="111"/>
      <c r="E127" s="111"/>
      <c r="F127" s="111"/>
      <c r="G127" s="111"/>
      <c r="H127" s="111"/>
      <c r="I127" s="112"/>
    </row>
    <row r="128" spans="2:10" x14ac:dyDescent="0.25">
      <c r="B128" s="115" t="s">
        <v>582</v>
      </c>
      <c r="C128" s="111"/>
      <c r="D128" s="111"/>
      <c r="E128" s="111"/>
      <c r="F128" s="111"/>
      <c r="G128" s="111"/>
      <c r="H128" s="111"/>
      <c r="I128" s="112"/>
    </row>
    <row r="129" spans="2:9" x14ac:dyDescent="0.25">
      <c r="B129" s="146"/>
      <c r="C129" s="113" t="s">
        <v>583</v>
      </c>
      <c r="D129" s="113" t="s">
        <v>584</v>
      </c>
      <c r="E129" s="113" t="s">
        <v>585</v>
      </c>
      <c r="F129" s="113" t="s">
        <v>586</v>
      </c>
      <c r="G129" s="1141" t="s">
        <v>587</v>
      </c>
      <c r="H129" s="1142"/>
      <c r="I129" s="112"/>
    </row>
    <row r="130" spans="2:9" x14ac:dyDescent="0.25">
      <c r="B130" s="147" t="s">
        <v>588</v>
      </c>
      <c r="C130" s="148"/>
      <c r="D130" s="148"/>
      <c r="E130" s="148"/>
      <c r="F130" s="148"/>
      <c r="G130" s="149"/>
      <c r="H130" s="150"/>
      <c r="I130" s="112"/>
    </row>
    <row r="131" spans="2:9" x14ac:dyDescent="0.25">
      <c r="B131" s="148" t="s">
        <v>589</v>
      </c>
      <c r="C131" s="151"/>
      <c r="D131" s="151"/>
      <c r="E131" s="151">
        <f>IF('Porc (Aliments)'!$A$10="Fumière ( fumier paille frais )", 'Porc (Aliments)'!$D$15,0) + IF('Porc (Aliments)'!$A$20="Fumière ( fumier paille frais )",'Porc (Aliments)'!$D$25,0) + IF('Porc (Aliments)'!$A$30="Fumière ( fumier paille frais )",'Porc (Aliments)'!$D$35,0)</f>
        <v>0</v>
      </c>
      <c r="F131" s="110" t="s">
        <v>50</v>
      </c>
      <c r="G131" s="152">
        <f>E131+C131-D131</f>
        <v>0</v>
      </c>
      <c r="H131" s="150"/>
      <c r="I131" s="112"/>
    </row>
    <row r="132" spans="2:9" x14ac:dyDescent="0.25">
      <c r="B132" s="148" t="s">
        <v>590</v>
      </c>
      <c r="C132" s="151"/>
      <c r="D132" s="151"/>
      <c r="E132" s="151">
        <f>IF('Porc (Aliments)'!$A$10="Fumière ( fumier paille frais )", 'Porc (Aliments)'!$J$15,0) + IF('Porc (Aliments)'!$A$20="Fumière ( fumier paille frais )", 'Porc (Aliments)'!$J$25,0) + IF('Porc (Aliments)'!$A$30="Fumière ( fumier paille frais )", 'Porc (Aliments)'!$J$35, 0)</f>
        <v>0</v>
      </c>
      <c r="F132" s="110" t="s">
        <v>50</v>
      </c>
      <c r="G132" s="152">
        <f t="shared" ref="G132:G136" si="4">E132+C132-D132</f>
        <v>0</v>
      </c>
      <c r="H132" s="153" t="s">
        <v>591</v>
      </c>
      <c r="I132" s="112"/>
    </row>
    <row r="133" spans="2:9" x14ac:dyDescent="0.25">
      <c r="B133" s="148" t="s">
        <v>592</v>
      </c>
      <c r="C133" s="151"/>
      <c r="D133" s="151"/>
      <c r="E133" s="151">
        <f>IF('Porc (Aliments)'!$A$10="Fumière ( fumier paille frais )",'Porc (Aliments)'!$K$15,0) + IF('Porc (Aliments)'!$A$20="Fumière ( fumier paille frais )",'Porc (Aliments)'!$K$25,0) + IF('Porc (Aliments)'!$A$30="Fumière ( fumier paille frais )", 'Porc (Aliments)'!$K$35,0)</f>
        <v>0</v>
      </c>
      <c r="F133" s="110" t="s">
        <v>50</v>
      </c>
      <c r="G133" s="152">
        <f t="shared" si="4"/>
        <v>0</v>
      </c>
      <c r="H133" s="153" t="s">
        <v>593</v>
      </c>
      <c r="I133" s="112"/>
    </row>
    <row r="134" spans="2:9" x14ac:dyDescent="0.25">
      <c r="B134" s="148" t="s">
        <v>594</v>
      </c>
      <c r="C134" s="151"/>
      <c r="D134" s="151"/>
      <c r="E134" s="151">
        <f>IF('Porc (Aliments)'!$A$10="Fumière ( fumier paille frais )", 'Porc (Aliments)'!$L$15,0) + IF('Porc (Aliments)'!$A$20="Fumière ( fumier paille frais )", 'Porc (Aliments)'!$L$25,0) + IF('Porc (Aliments)'!$A$30="Fumière ( fumier paille frais )",'Porc (Aliments)'!$L$35,0)</f>
        <v>0</v>
      </c>
      <c r="F134" s="110" t="s">
        <v>50</v>
      </c>
      <c r="G134" s="152">
        <f t="shared" si="4"/>
        <v>0</v>
      </c>
      <c r="H134" s="153" t="s">
        <v>595</v>
      </c>
      <c r="I134" s="112"/>
    </row>
    <row r="135" spans="2:9" x14ac:dyDescent="0.25">
      <c r="B135" s="148" t="s">
        <v>596</v>
      </c>
      <c r="C135" s="151"/>
      <c r="D135" s="151"/>
      <c r="E135" s="151">
        <f>(IF('Porc (Aliments)'!$A$10="Fumière ( fumier paille frais )",'Porc (Aliments)'!$M$15,0) + IF('Porc (Aliments)'!$A$20="Fumière ( fumier paille frais )", 'Porc (Aliments)'!$M$25,0) + IF('Porc (Aliments)'!$A$30="Fumière ( fumier paille frais )",'Porc (Aliments)'!$M$35,0))/1000</f>
        <v>0</v>
      </c>
      <c r="F135" s="137"/>
      <c r="G135" s="152">
        <f t="shared" si="4"/>
        <v>0</v>
      </c>
      <c r="H135" s="153"/>
      <c r="I135" s="112"/>
    </row>
    <row r="136" spans="2:9" x14ac:dyDescent="0.25">
      <c r="B136" s="155" t="s">
        <v>597</v>
      </c>
      <c r="C136" s="169"/>
      <c r="D136" s="169"/>
      <c r="E136" s="169">
        <f>(IF('Porc (Aliments)'!$A$10="Fumière ( fumier paille frais )",'Porc (Aliments)'!$N$15,0) + IF('Porc (Aliments)'!$A$20="Fumière ( fumier paille frais )",'Porc (Aliments)'!$N$25,0) + IF('Porc (Aliments)'!$A$30="Fumière ( fumier paille frais )",'Porc (Aliments)'!$N$35,0))/1000</f>
        <v>0</v>
      </c>
      <c r="F136" s="157"/>
      <c r="G136" s="152">
        <f t="shared" si="4"/>
        <v>0</v>
      </c>
      <c r="H136" s="158"/>
      <c r="I136" s="112"/>
    </row>
    <row r="137" spans="2:9" x14ac:dyDescent="0.25">
      <c r="B137" s="147" t="s">
        <v>598</v>
      </c>
      <c r="C137" s="159"/>
      <c r="D137" s="159"/>
      <c r="E137" s="159"/>
      <c r="F137" s="160"/>
      <c r="G137" s="161"/>
      <c r="H137" s="162"/>
      <c r="I137" s="112"/>
    </row>
    <row r="138" spans="2:9" x14ac:dyDescent="0.25">
      <c r="B138" s="148" t="s">
        <v>589</v>
      </c>
      <c r="C138" s="151">
        <f>IF('Feuille saisie commune'!$F$15="Fumière ( fumier paille frais )", IF('Feuille saisie commune'!$C$15="Porcs charcutiers", 'Porc (Effectif détaillé)'!$T$44, 0), 0)+IF('Feuille saisie commune'!$F$16="Fumière ( fumier paille frais )", IF('Feuille saisie commune'!$C$16="Porcs charcutiers", 'Porc (Effectif détaillé)'!$T$44, 0), 0)+IF('Feuille saisie commune'!$F$17="Fumière ( fumier paille frais )", IF('Feuille saisie commune'!$C$17="Porcs charcutiers", 'Porc (Effectif détaillé)'!$T$44, 0), 0)+IF('Feuille saisie commune'!$F$47="Fumière ( fumier paille frais )", IF('Feuille saisie commune'!$B$48="Porcs charcutiers", 'Porc (Effectif détaillé)'!$T$44, 0), 0)+                                                                                                                                                                                      IF('Feuille saisie commune'!$F$15="Fumière ( fumier paille frais )", IF('Feuille saisie commune'!$C$15="Truies et verrats", 'Porc (Effectif détaillé)'!$T$41+'Porc (Effectif détaillé)'!$T$42, 0), 0)+IF('Feuille saisie commune'!$F$16="Fumière ( fumier paille frais )", IF('Feuille saisie commune'!$C$16="Truies et verrats", 'Porc (Effectif détaillé)'!$T$41+'Porc (Effectif détaillé)'!$T$42, 0), 0)+IF('Feuille saisie commune'!$F$17="Fumière ( fumier paille frais )", IF('Feuille saisie commune'!$C$17="Truies et verrats", 'Porc (Effectif détaillé)'!$T$41+'Porc (Effectif détaillé)'!$T$42, 0), 0)+IF('Feuille saisie commune'!$F$47="Fumière ( fumier paille frais )", IF('Feuille saisie commune'!$B$48="Truies et verrats", 'Porc (Effectif détaillé)'!$T$41+'Porc (Effectif détaillé)'!$T$42, 0), 0)+                                                                                                       IF('Feuille saisie commune'!$F$15="Fumière ( fumier paille frais )", IF('Feuille saisie commune'!$C$15="Post-sevrage", 'Porc (Effectif détaillé)'!$T$43, 0), 0)+IF('Feuille saisie commune'!$F$16="Fumière ( fumier paille frais )", IF('Feuille saisie commune'!$C$16="Post-sevrage", 'Porc (Effectif détaillé)'!$T$43, 0), 0)+IF('Feuille saisie commune'!$F$17="Fumière ( fumier paille frais )", IF('Feuille saisie commune'!$C$17="Post-sevrage", 'Porc (Effectif détaillé)'!$T$43, 0), 0)+IF('Feuille saisie commune'!$F$47="Fumière ( fumier paille frais )", IF('Feuille saisie commune'!$B$48="Post-sevrage", 'Porc (Effectif détaillé)'!$T$43, 0), 0)</f>
        <v>0</v>
      </c>
      <c r="D138" s="151">
        <f>IF('Feuille saisie commune'!$F$15="Fumière ( fumier paille frais )", IF('Feuille saisie commune'!$C$15="Porcs charcutiers", 'Porc (Effectif détaillé)'!$U$44, 0), 0)+IF('Feuille saisie commune'!$F$16="Fumière ( fumier paille frais )", IF('Feuille saisie commune'!$C$16="Porcs charcutiers", 'Porc (Effectif détaillé)'!$U$44, 0), 0)+IF('Feuille saisie commune'!$F$17="Fumière ( fumier paille frais )", IF('Feuille saisie commune'!$C$17="Porcs charcutiers", 'Porc (Effectif détaillé)'!$U$44, 0), 0)+IF('Feuille saisie commune'!$F$47="Fumière ( fumier paille frais )", IF('Feuille saisie commune'!$B$48="Porcs charcutiers", 'Porc (Effectif détaillé)'!$U$44, 0), 0)+                                                                                                                                                                                            IF('Feuille saisie commune'!$F$15="Fumière ( fumier paille frais )", IF('Feuille saisie commune'!$C$15="Truies et verrats", 'Porc (Effectif détaillé)'!$U$41+'Porc (Effectif détaillé)'!$U$42, 0), 0)+IF('Feuille saisie commune'!$F$16="Fumière ( fumier paille frais )", IF('Feuille saisie commune'!$C$16="Truies et verrats", 'Porc (Effectif détaillé)'!$U$41+'Porc (Effectif détaillé)'!$U$42, 0), 0)+IF('Feuille saisie commune'!$F$17="Fumière ( fumier paille frais )", IF('Feuille saisie commune'!$C$17="Truies et verrats", 'Porc (Effectif détaillé)'!$U$41+'Porc (Effectif détaillé)'!$U$42, 0), 0)+IF('Feuille saisie commune'!$F$47="Fumière ( fumier paille frais )", IF('Feuille saisie commune'!$B$48="Truies et verrats", 'Porc (Effectif détaillé)'!$U$41+'Porc (Effectif détaillé)'!$U$42, 0), 0)+                                                                                                           IF('Feuille saisie commune'!$F$15="Fumière ( fumier paille frais )", IF('Feuille saisie commune'!$C$15="Post-sevrage", 'Porc (Effectif détaillé)'!$U$43, 0), 0)+IF('Feuille saisie commune'!$F$16="Fumière ( fumier paille frais )", IF('Feuille saisie commune'!$C$16="Post-sevrage", 'Porc (Effectif détaillé)'!$U$43, 0), 0)+IF('Feuille saisie commune'!$F$17="Fumière ( fumier paille frais )", IF('Feuille saisie commune'!$C$17="Post-sevrage", 'Porc (Effectif détaillé)'!$U$43, 0), 0)+IF('Feuille saisie commune'!$F$47="Fumière ( fumier paille frais )", IF('Feuille saisie commune'!$B$48="Post-sevrage", 'Porc (Effectif détaillé)'!$U$43, 0), 0)</f>
        <v>0</v>
      </c>
      <c r="E138" s="163">
        <f>IF('Feuille saisie commune'!$F$15="Fumière ( fumier paille frais )", IF('Feuille saisie commune'!$C$15="Porcs charcutiers", 'Porc (Effectif détaillé)'!$O$50, 0), 0)+IF('Feuille saisie commune'!$F$16="Fumière ( fumier paille frais )", IF('Feuille saisie commune'!$C$16="Porcs charcutiers", 'Porc (Effectif détaillé)'!$O$50, 0), 0)+IF('Feuille saisie commune'!$F$17="Fumière ( fumier paille frais )", IF('Feuille saisie commune'!$C$17="Porcs charcutiers", 'Porc (Effectif détaillé)'!$O$50, 0), 0)+IF('Feuille saisie commune'!$F$47="Fumière ( fumier paille frais )", IF('Feuille saisie commune'!$B$48="Porcs charcutiers", 'Porc (Effectif détaillé)'!$O$50, 0), 0)+                                                                                                                                                                                            IF('Feuille saisie commune'!$F$15="Fumière ( fumier paille frais )", IF('Feuille saisie commune'!$C$15="Truies et verrats", 'Porc (Effectif détaillé)'!$O$51, 0), 0)+IF('Feuille saisie commune'!$F$16="Fumière ( fumier paille frais )", IF('Feuille saisie commune'!$C$16="Truies et verrats", 'Porc (Effectif détaillé)'!$O$51, 0), 0)+IF('Feuille saisie commune'!$F$17="Fumière ( fumier paille frais )", IF('Feuille saisie commune'!$C$17="Truies et verrats", 'Porc (Effectif détaillé)'!$O$51, 0), 0)+IF('Feuille saisie commune'!$F$47="Fumière ( fumier paille frais )", IF('Feuille saisie commune'!$B$48="Truies et verrats", 'Porc (Effectif détaillé)'!$O$51, 0), 0)+                                                                                                                                                                                                                                               IF('Feuille saisie commune'!$F$15="Fumière ( fumier paille frais )", IF('Feuille saisie commune'!$C$15="Post-sevrage", 'Porc (Effectif détaillé)'!$O$49, 0), 0)+IF('Feuille saisie commune'!$F$16="Fumière ( fumier paille frais )", IF('Feuille saisie commune'!$C$16="Post-sevrage", 'Porc (Effectif détaillé)'!$O$49, 0), 0)+IF('Feuille saisie commune'!$F$17="Fumière ( fumier paille frais )", IF('Feuille saisie commune'!$C$17="Post-sevrage", 'Porc (Effectif détaillé)'!$O$49, 0), 0)+IF('Feuille saisie commune'!$F$47="Fumière ( fumier paille frais )", IF('Feuille saisie commune'!$B$48="Post-sevrage", 'Porc (Effectif détaillé)'!$O$49, 0), 0)</f>
        <v>0</v>
      </c>
      <c r="F138" s="164">
        <f>IF('Feuille saisie commune'!$F$15="Fumière ( fumier paille frais )", IF('Feuille saisie commune'!$C$15="Porcs charcutiers", 'Porc (Effectif détaillé)'!$I$51+'Porc (Effectif détaillé)'!$I$52+'Porc (Effectif détaillé)'!$I$54*0.6, 0), 0)+IF('Feuille saisie commune'!$F$16="Fumière ( fumier paille frais )", IF('Feuille saisie commune'!$C$16="Porcs charcutiers", 'Porc (Effectif détaillé)'!$I$51+'Porc (Effectif détaillé)'!$I$52+'Porc (Effectif détaillé)'!$I$54*0.6, 0), 0)+IF('Feuille saisie commune'!$F$17="Fumière ( fumier paille frais )", IF('Feuille saisie commune'!$C$17="Porcs charcutiers", 'Porc (Effectif détaillé)'!$I$51+'Porc (Effectif détaillé)'!$I$52+'Porc (Effectif détaillé)'!$I$54*0.6, 0), 0)+IF('Feuille saisie commune'!$F$47="Fumière ( fumier paille frais )", IF('Feuille saisie commune'!$B$48="Porcs charcutiers", 'Porc (Effectif détaillé)'!$I$51+'Porc (Effectif détaillé)'!$I$52+'Porc (Effectif détaillé)'!$I$54*0.6, 0), 0)+                                                                                                                                   IF('Feuille saisie commune'!$F$15="Fumière ( fumier paille frais )", IF('Feuille saisie commune'!$C$15="Truies et verrats", 'Porc (Effectif détaillé)'!$I$49+'Porc (Effectif détaillé)'!$I$53+'Porc (Effectif détaillé)'!$I$54*0.4, 0), 0)+IF('Feuille saisie commune'!$F$16="Fumière ( fumier paille frais )", IF('Feuille saisie commune'!$C$16="Truies et verrats", 'Porc (Effectif détaillé)'!$I$49+'Porc (Effectif détaillé)'!$I$53+'Porc (Effectif détaillé)'!$I$54*0.4, 0), 0)+IF('Feuille saisie commune'!$F$17="Fumière ( fumier paille frais )", IF('Feuille saisie commune'!$C$17="Truies et verrats", 'Porc (Effectif détaillé)'!$I$49+'Porc (Effectif détaillé)'!$I$53+'Porc (Effectif détaillé)'!$I$54*0.4, 0), 0)+IF('Feuille saisie commune'!$F$47="Fumière ( fumier paille frais )", IF('Feuille saisie commune'!$B$48="Truies et verrats", 'Porc (Effectif détaillé)'!I$49+'Porc (Effectif détaillé)'!I$53+'Porc (Effectif détaillé)'!I$54*0.4, 0), 0)+                                                                                                                                                                                                              IF('Feuille saisie commune'!$F$15="Fumière ( fumier paille frais )", IF('Feuille saisie commune'!$C$15="Post-sevrage", 'Porc (Effectif détaillé)'!$I$50, 0), 0)+IF('Feuille saisie commune'!$F$16="Fumière ( fumier paille frais )", IF('Feuille saisie commune'!$C$16="Post-sevrage", 'Porc (Effectif détaillé)'!$I$50, 0), 0)+IF('Feuille saisie commune'!$F$17="Fumière ( fumier paille frais )", IF('Feuille saisie commune'!$C$17="Post-sevrage", 'Porc (Effectif détaillé)'!$I$50, 0), 0)+IF('Feuille saisie commune'!$F$47="Fumière ( fumier paille frais )", IF('Feuille saisie commune'!$B$48="Post-sevrage", 'Porc (Effectif détaillé)'!$I$50, 0), 0)</f>
        <v>0</v>
      </c>
      <c r="G138" s="152">
        <f>F138+D138-C138-E138</f>
        <v>0</v>
      </c>
      <c r="H138" s="153"/>
      <c r="I138" s="112"/>
    </row>
    <row r="139" spans="2:9" x14ac:dyDescent="0.25">
      <c r="B139" s="148" t="s">
        <v>590</v>
      </c>
      <c r="C139" s="151">
        <f>IF('Feuille saisie commune'!$F$15="Fumière ( fumier paille frais )", IF('Feuille saisie commune'!$C$15="Porcs charcutiers", 'Porc (Effectif détaillé)'!$J$44, 0), 0)+IF('Feuille saisie commune'!$F$16="Fumière ( fumier paille frais )", IF('Feuille saisie commune'!$C$16="Porcs charcutiers", 'Porc (Effectif détaillé)'!$J$44, 0), 0)+IF('Feuille saisie commune'!$F$17="Fumière ( fumier paille frais )", IF('Feuille saisie commune'!$C$17="Porcs charcutiers", 'Porc (Effectif détaillé)'!$J$44, 0), 0)+IF('Feuille saisie commune'!$F$47="Fumière ( fumier paille frais )", IF('Feuille saisie commune'!$B$48="Porcs charcutiers", 'Porc (Effectif détaillé)'!$J$44, 0), 0)+                                                                                                                                                                                      IF('Feuille saisie commune'!$F$15="Fumière ( fumier paille frais )", IF('Feuille saisie commune'!$C$15="Truies et verrats", 'Porc (Effectif détaillé)'!$J$41+'Porc (Effectif détaillé)'!$J$42, 0), 0)+IF('Feuille saisie commune'!$F$16="Fumière ( fumier paille frais )", IF('Feuille saisie commune'!$C$16="Truies et verrats", 'Porc (Effectif détaillé)'!$J$41+'Porc (Effectif détaillé)'!$J$42, 0), 0)+IF('Feuille saisie commune'!$F$17="Fumière ( fumier paille frais )", IF('Feuille saisie commune'!$C$17="Truies et verrats", 'Porc (Effectif détaillé)'!$J$41+'Porc (Effectif détaillé)'!$J$42, 0), 0)+IF('Feuille saisie commune'!$F$47="Fumière ( fumier paille frais )", IF('Feuille saisie commune'!$B$48="Truies et verrats", 'Porc (Effectif détaillé)'!$J$41+'Porc (Effectif détaillé)'!$J$42, 0), 0)+                                                                                                       IF('Feuille saisie commune'!$F$15="Fumière ( fumier paille frais )", IF('Feuille saisie commune'!$C$15="Post-sevrage", 'Porc (Effectif détaillé)'!$J$43, 0), 0)+IF('Feuille saisie commune'!$F$16="Fumière ( fumier paille frais )", IF('Feuille saisie commune'!$C$16="Post-sevrage", 'Porc (Effectif détaillé)'!$J$43, 0), 0)+IF('Feuille saisie commune'!$F$17="Fumière ( fumier paille frais )", IF('Feuille saisie commune'!$C$17="Post-sevrage", 'Porc (Effectif détaillé)'!$J$43, 0), 0)+IF('Feuille saisie commune'!$F$47="Fumière ( fumier paille frais )", IF('Feuille saisie commune'!$B$48="Post-sevrage", 'Porc (Effectif détaillé)'!$J$43, 0), 0)</f>
        <v>0</v>
      </c>
      <c r="D139" s="151">
        <f>IF('Feuille saisie commune'!$F$15="Fumière ( fumier paille frais )", IF('Feuille saisie commune'!$C$15="Porcs charcutiers", 'Porc (Effectif détaillé)'!$K$44, 0), 0)+IF('Feuille saisie commune'!$F$16="Fumière ( fumier paille frais )", IF('Feuille saisie commune'!$C$16="Porcs charcutiers", 'Porc (Effectif détaillé)'!$K$44, 0), 0)+IF('Feuille saisie commune'!$F$17="Fumière ( fumier paille frais )", IF('Feuille saisie commune'!$C$17="Porcs charcutiers", 'Porc (Effectif détaillé)'!$K$44, 0), 0)+IF('Feuille saisie commune'!$F$47="Fumière ( fumier paille frais )", IF('Feuille saisie commune'!$B$48="Porcs charcutiers", 'Porc (Effectif détaillé)'!$K$44, 0), 0)+                                                                                                                                                                                            IF('Feuille saisie commune'!$F$15="Fumière ( fumier paille frais )", IF('Feuille saisie commune'!$C$15="Truies et verrats", 'Porc (Effectif détaillé)'!$K$41+'Porc (Effectif détaillé)'!$K$42, 0), 0)+IF('Feuille saisie commune'!$F$16="Fumière ( fumier paille frais )", IF('Feuille saisie commune'!$C$16="Truies et verrats", 'Porc (Effectif détaillé)'!$K$41+'Porc (Effectif détaillé)'!$K$42, 0), 0)+IF('Feuille saisie commune'!$F$17="Fumière ( fumier paille frais )", IF('Feuille saisie commune'!$C$17="Truies et verrats", 'Porc (Effectif détaillé)'!$K$41+'Porc (Effectif détaillé)'!$K$42, 0), 0)+IF('Feuille saisie commune'!$F$47="Fumière ( fumier paille frais )", IF('Feuille saisie commune'!$B$48="Truies et verrats", 'Porc (Effectif détaillé)'!$K$41+'Porc (Effectif détaillé)'!$K$42, 0), 0)+                                                                                                          IF('Feuille saisie commune'!$F$15="Fumière ( fumier paille frais )", IF('Feuille saisie commune'!$C$15="Post-sevrage", 'Porc (Effectif détaillé)'!$K$43, 0), 0)+IF('Feuille saisie commune'!$F$16="Fumière ( fumier paille frais )", IF('Feuille saisie commune'!$C$16="Post-sevrage", 'Porc (Effectif détaillé)'!$K$43, 0), 0)+IF('Feuille saisie commune'!$F$17="Fumière ( fumier paille frais )", IF('Feuille saisie commune'!$C$17="Post-sevrage", 'Porc (Effectif détaillé)'!$K$43, 0), 0)+IF('Feuille saisie commune'!$F$47="Fumière ( fumier paille frais )", IF('Feuille saisie commune'!$B$48="Post-sevrage", 'Porc (Effectif détaillé)'!$K$43, 0), 0)</f>
        <v>0</v>
      </c>
      <c r="E139" s="163">
        <f>IF('Feuille saisie commune'!$F$15="Fumière ( fumier paille frais )", IF('Feuille saisie commune'!$C$15="Porcs charcutiers", 'Porc (Effectif détaillé)'!$P$50, 0), 0)+IF('Feuille saisie commune'!$F$16="Fumière ( fumier paille frais )", IF('Feuille saisie commune'!$C$16="Porcs charcutiers", 'Porc (Effectif détaillé)'!$P$50, 0), 0)+IF('Feuille saisie commune'!$F$17="Fumière ( fumier paille frais )", IF('Feuille saisie commune'!$C$17="Porcs charcutiers", 'Porc (Effectif détaillé)'!$P$50, 0), 0)+IF('Feuille saisie commune'!$F$47="Fumière ( fumier paille frais )", IF('Feuille saisie commune'!$B$48="Porcs charcutiers", 'Porc (Effectif détaillé)'!$P$50, 0), 0)+                                                                                                                                                                                            IF('Feuille saisie commune'!$F$15="Fumière ( fumier paille frais )", IF('Feuille saisie commune'!$C$15="Truies et verrats", 'Porc (Effectif détaillé)'!$P$51, 0), 0)+IF('Feuille saisie commune'!$F$16="Fumière ( fumier paille frais )", IF('Feuille saisie commune'!$C$16="Truies et verrats", 'Porc (Effectif détaillé)'!$P$51, 0), 0)+IF('Feuille saisie commune'!$F$17="Fumière ( fumier paille frais )", IF('Feuille saisie commune'!$C$17="Truies et verrats", 'Porc (Effectif détaillé)'!$P$51, 0), 0)+IF('Feuille saisie commune'!$F$47="Fumière ( fumier paille frais )", IF('Feuille saisie commune'!$B$48="Truies et verrats", 'Porc (Effectif détaillé)'!$P$51, 0), 0)+                                                                                                                                                                                                                                               IF('Feuille saisie commune'!$F$15="Fumière ( fumier paille frais )", IF('Feuille saisie commune'!$C$15="Post-sevrage", 'Porc (Effectif détaillé)'!$P$49, 0), 0)+IF('Feuille saisie commune'!$F$16="Fumière ( fumier paille frais )", IF('Feuille saisie commune'!$C$16="Post-sevrage", 'Porc (Effectif détaillé)'!$P$49, 0), 0)+IF('Feuille saisie commune'!$F$17="Fumière ( fumier paille frais )", IF('Feuille saisie commune'!$C$17="Post-sevrage", 'Porc (Effectif détaillé)'!$P$49, 0), 0)+IF('Feuille saisie commune'!$F$47="Fumière ( fumier paille frais )", IF('Feuille saisie commune'!$B$48="Post-sevrage", 'Porc (Effectif détaillé)'!$P$49, 0), 0)</f>
        <v>0</v>
      </c>
      <c r="F139" s="164">
        <f>IF('Feuille saisie commune'!$F$15="Fumière ( fumier paille frais )", IF('Feuille saisie commune'!$C$15="Porcs charcutiers", 'Porc (Effectif détaillé)'!$J$51+'Porc (Effectif détaillé)'!$J$52+'Porc (Effectif détaillé)'!$J$54*0.6, 0), 0)+IF('Feuille saisie commune'!$F$16="Fumière ( fumier paille frais )", IF('Feuille saisie commune'!$C$16="Porcs charcutiers", 'Porc (Effectif détaillé)'!$J$51+'Porc (Effectif détaillé)'!$J$52+'Porc (Effectif détaillé)'!$J$54*0.6, 0), 0)+IF('Feuille saisie commune'!$F$17="Fumière ( fumier paille frais )", IF('Feuille saisie commune'!$C$17="Porcs charcutiers", 'Porc (Effectif détaillé)'!$J$51+'Porc (Effectif détaillé)'!$J$52+'Porc (Effectif détaillé)'!$J$54*0.6, 0), 0)+IF('Feuille saisie commune'!$F$47="Fumière ( fumier paille frais )", IF('Feuille saisie commune'!$B$48="Porcs charcutiers", 'Porc (Effectif détaillé)'!$J$51+'Porc (Effectif détaillé)'!$J$52+'Porc (Effectif détaillé)'!$J$54*0.6, 0), 0)+                                                                                                                                   IF('Feuille saisie commune'!$F$15="Fumière ( fumier paille frais )", IF('Feuille saisie commune'!$C$15="Truies et verrats", 'Porc (Effectif détaillé)'!$J$49+'Porc (Effectif détaillé)'!$J$53+'Porc (Effectif détaillé)'!$J$54*0.4, 0), 0)+IF('Feuille saisie commune'!$F$16="Fumière ( fumier paille frais )", IF('Feuille saisie commune'!$C$16="Truies et verrats", 'Porc (Effectif détaillé)'!$J$49+'Porc (Effectif détaillé)'!$J$53+'Porc (Effectif détaillé)'!$J$54*0.4, 0), 0)+IF('Feuille saisie commune'!$F$17="Fumière ( fumier paille frais )", IF('Feuille saisie commune'!$C$17="Truies et verrats", 'Porc (Effectif détaillé)'!$J$49+'Porc (Effectif détaillé)'!$J$53+'Porc (Effectif détaillé)'!$J$54*0.4, 0), 0)+IF('Feuille saisie commune'!$F$47="Fumière ( fumier paille frais )", IF('Feuille saisie commune'!$B$48="Truies et verrats", 'Porc (Effectif détaillé)'!$J$49+'Porc (Effectif détaillé)'!$J$53+'Porc (Effectif détaillé)'!$J$54*0.4, 0), 0)+                                                                                                                                                                                                              IF('Feuille saisie commune'!$F$15="Fumière ( fumier paille frais )", IF('Feuille saisie commune'!$C$15="Post-sevrage", 'Porc (Effectif détaillé)'!$J$50, 0), 0)+IF('Feuille saisie commune'!$F$16="Fumière ( fumier paille frais )", IF('Feuille saisie commune'!$C$16="Post-sevrage", 'Porc (Effectif détaillé)'!$J$50, 0), 0)+IF('Feuille saisie commune'!$F$17="Fumière ( fumier paille frais )", IF('Feuille saisie commune'!$C$17="Post-sevrage", 'Porc (Effectif détaillé)'!$J$50, 0), 0)+IF('Feuille saisie commune'!$F$47="Fumière ( fumier paille frais )", IF('Feuille saisie commune'!$B$48="Post-sevrage", 'Porc (Effectif détaillé)'!$J$50, 0), 0)</f>
        <v>0</v>
      </c>
      <c r="G139" s="152">
        <f t="shared" ref="G139:G143" si="5">F139+D139-C139-E139</f>
        <v>0</v>
      </c>
      <c r="H139" s="153" t="s">
        <v>599</v>
      </c>
      <c r="I139" s="112"/>
    </row>
    <row r="140" spans="2:9" x14ac:dyDescent="0.25">
      <c r="B140" s="148" t="s">
        <v>600</v>
      </c>
      <c r="C140" s="151">
        <f>IF('Feuille saisie commune'!$F$15="Fumière ( fumier paille frais )", IF('Feuille saisie commune'!$C$15="Porcs charcutiers", 'Porc (Effectif détaillé)'!$L$44, 0), 0)+IF('Feuille saisie commune'!$F$16="Fumière ( fumier paille frais )", IF('Feuille saisie commune'!$C$16="Porcs charcutiers", 'Porc (Effectif détaillé)'!$L$44, 0), 0)+IF('Feuille saisie commune'!$F$17="Fumière ( fumier paille frais )", IF('Feuille saisie commune'!$C$17="Porcs charcutiers", 'Porc (Effectif détaillé)'!$L$44, 0), 0)+IF('Feuille saisie commune'!$F$47="Fumière ( fumier paille frais )", IF('Feuille saisie commune'!$B$48="Porcs charcutiers", 'Porc (Effectif détaillé)'!$L$44, 0), 0)+                                                                                                                                                                                          IF('Feuille saisie commune'!$F$15="Fumière ( fumier paille frais )", IF('Feuille saisie commune'!$C$15="Truies et verrats", 'Porc (Effectif détaillé)'!$L$41+'Porc (Effectif détaillé)'!$L$42, 0), 0)+IF('Feuille saisie commune'!$F$16="Fumière ( fumier paille frais )", IF('Feuille saisie commune'!$C$16="Truies et verrats", 'Porc (Effectif détaillé)'!$L$41+'Porc (Effectif détaillé)'!$L$42, 0), 0)+IF('Feuille saisie commune'!$F$17="Fumière ( fumier paille frais )", IF('Feuille saisie commune'!$C$17="Truies et verrats", 'Porc (Effectif détaillé)'!$L$41+'Porc (Effectif détaillé)'!$L$42, 0), 0)+IF('Feuille saisie commune'!$F$47="Fumière ( fumier paille frais )", IF('Feuille saisie commune'!$B$48="Truies et verrats", 'Porc (Effectif détaillé)'!$L$41+'Porc (Effectif détaillé)'!$L$42, 0), 0)+                                                                                                       IF('Feuille saisie commune'!$F$15="Fumière ( fumier paille frais )", IF('Feuille saisie commune'!$C$15="Post-sevrage", 'Porc (Effectif détaillé)'!$L$43, 0), 0)+IF('Feuille saisie commune'!$F$16="Fumière ( fumier paille frais )", IF('Feuille saisie commune'!$C$16="Post-sevrage", 'Porc (Effectif détaillé)'!$L$43, 0), 0)+IF('Feuille saisie commune'!$F$17="Fumière ( fumier paille frais )", IF('Feuille saisie commune'!$C$17="Post-sevrage", 'Porc (Effectif détaillé)'!$L$43, 0), 0)+IF('Feuille saisie commune'!$F$47="Fumière ( fumier paille frais )", IF('Feuille saisie commune'!$B$48="Post-sevrage", 'Porc (Effectif détaillé)'!$L$43, 0), 0)</f>
        <v>0</v>
      </c>
      <c r="D140" s="151">
        <f>IF('Feuille saisie commune'!$F$15="Fumière ( fumier paille frais )", IF('Feuille saisie commune'!$C$15="Porcs charcutiers", 'Porc (Effectif détaillé)'!$M$44, 0), 0)+IF('Feuille saisie commune'!$F$16="Fumière ( fumier paille frais )", IF('Feuille saisie commune'!$C$16="Porcs charcutiers", 'Porc (Effectif détaillé)'!$M$44, 0), 0)+IF('Feuille saisie commune'!$F$17="Fumière ( fumier paille frais )", IF('Feuille saisie commune'!$C$17="Porcs charcutiers", 'Porc (Effectif détaillé)'!$M$44, 0), 0)+IF('Feuille saisie commune'!$F$47="Fumière ( fumier paille frais )", IF('Feuille saisie commune'!$B$48="Porcs charcutiers", 'Porc (Effectif détaillé)'!$M$44, 0), 0)+                                                                                                                                                                                       IF('Feuille saisie commune'!$F$15="Fumière ( fumier paille frais )", IF('Feuille saisie commune'!$C$15="Truies et verrats", 'Porc (Effectif détaillé)'!$M$41+'Porc (Effectif détaillé)'!$M$42, 0), 0)+IF('Feuille saisie commune'!$F$16="Fumière ( fumier paille frais )", IF('Feuille saisie commune'!$C$16="Truies et verrats", 'Porc (Effectif détaillé)'!$M$41+'Porc (Effectif détaillé)'!$M$42, 0), 0)+IF('Feuille saisie commune'!$F$17="Fumière ( fumier paille frais )", IF('Feuille saisie commune'!$C$17="Truies et verrats", 'Porc (Effectif détaillé)'!$M$41+'Porc (Effectif détaillé)'!$M$42, 0), 0)+IF('Feuille saisie commune'!$F$47="Fumière ( fumier paille frais )", IF('Feuille saisie commune'!$B$48="Truies et verrats", 'Porc (Effectif détaillé)'!$M$41+'Porc (Effectif détaillé)'!$M$42, 0), 0)+                                                                                                          IF('Feuille saisie commune'!$F$15="Fumière ( fumier paille frais )", IF('Feuille saisie commune'!$C$15="Post-sevrage", 'Porc (Effectif détaillé)'!$M$43, 0), 0)+IF('Feuille saisie commune'!$F$16="Fumière ( fumier paille frais )", IF('Feuille saisie commune'!$C$16="Post-sevrage", 'Porc (Effectif détaillé)'!$M$43, 0), 0)+IF('Feuille saisie commune'!$F$17="Fumière ( fumier paille frais )", IF('Feuille saisie commune'!$C$17="Post-sevrage", 'Porc (Effectif détaillé)'!$M$43, 0), 0)+IF('Feuille saisie commune'!$F$47="Fumière ( fumier paille frais )", IF('Feuille saisie commune'!$B$48="Post-sevrage", 'Porc (Effectif détaillé)'!$M$43, 0), 0)</f>
        <v>0</v>
      </c>
      <c r="E140" s="163">
        <f>IF('Feuille saisie commune'!$F$15="Fumière ( fumier paille frais )", IF('Feuille saisie commune'!$C$15="Porcs charcutiers", 'Porc (Effectif détaillé)'!$Q$50, 0), 0)+IF('Feuille saisie commune'!$F$16="Fumière ( fumier paille frais )", IF('Feuille saisie commune'!$C$16="Porcs charcutiers", 'Porc (Effectif détaillé)'!$Q$50, 0), 0)+IF('Feuille saisie commune'!$F$17="Fumière ( fumier paille frais )", IF('Feuille saisie commune'!$C$17="Porcs charcutiers", 'Porc (Effectif détaillé)'!$Q$50, 0), 0)+IF('Feuille saisie commune'!$F$47="Fumière ( fumier paille frais )", IF('Feuille saisie commune'!$B$48="Porcs charcutiers", 'Porc (Effectif détaillé)'!$Q$50, 0), 0)+                                                                                                                                                                                            IF('Feuille saisie commune'!$F$15="Fumière ( fumier paille frais )", IF('Feuille saisie commune'!$C$15="Truies et verrats", 'Porc (Effectif détaillé)'!$Q$51, 0), 0)+IF('Feuille saisie commune'!$F$16="Fumière ( fumier paille frais )", IF('Feuille saisie commune'!$C$16="Truies et verrats", 'Porc (Effectif détaillé)'!$Q$51, 0), 0)+IF('Feuille saisie commune'!$F$17="Fumière ( fumier paille frais )", IF('Feuille saisie commune'!$C$17="Truies et verrats", 'Porc (Effectif détaillé)'!$Q$51, 0), 0)+IF('Feuille saisie commune'!$F$47="Fumière ( fumier paille frais )", IF('Feuille saisie commune'!$B$48="Truies et verrats", 'Porc (Effectif détaillé)'!$Q$51, 0), 0)+                                                                                                                                                                                                                                               IF('Feuille saisie commune'!$F$15="Fumière ( fumier paille frais )", IF('Feuille saisie commune'!$C$15="Post-sevrage", 'Porc (Effectif détaillé)'!$Q$49, 0), 0)+IF('Feuille saisie commune'!$F$16="Fumière ( fumier paille frais )", IF('Feuille saisie commune'!$C$16="Post-sevrage", 'Porc (Effectif détaillé)'!$Q$49, 0), 0)+IF('Feuille saisie commune'!$F$17="Fumière ( fumier paille frais )", IF('Feuille saisie commune'!$C$17="Post-sevrage", 'Porc (Effectif détaillé)'!$Q$49, 0), 0)+IF('Feuille saisie commune'!$F$47="Fumière ( fumier paille frais )", IF('Feuille saisie commune'!$B$48="Post-sevrage", 'Porc (Effectif détaillé)'!$Q$49, 0), 0)</f>
        <v>0</v>
      </c>
      <c r="F140" s="164">
        <f>IF('Feuille saisie commune'!$F$15="Fumière ( fumier paille frais )", IF('Feuille saisie commune'!$C$15="Porcs charcutiers", 'Porc (Effectif détaillé)'!$K$51+'Porc (Effectif détaillé)'!$K$52+'Porc (Effectif détaillé)'!$K$54*0.6, 0), 0)+IF('Feuille saisie commune'!$F$16="Fumière ( fumier paille frais )", IF('Feuille saisie commune'!$C$16="Porcs charcutiers", 'Porc (Effectif détaillé)'!$K$51+'Porc (Effectif détaillé)'!$K$52+'Porc (Effectif détaillé)'!$K$54*0.6, 0), 0)+IF('Feuille saisie commune'!$F$17="Fumière ( fumier paille frais )", IF('Feuille saisie commune'!$C$17="Porcs charcutiers", 'Porc (Effectif détaillé)'!$K$51+'Porc (Effectif détaillé)'!$K$52+'Porc (Effectif détaillé)'!$K$54*0.6, 0), 0)+IF('Feuille saisie commune'!$F$47="Fumière ( fumier paille frais )", IF('Feuille saisie commune'!$B$48="Porcs charcutiers", 'Porc (Effectif détaillé)'!$K$51+'Porc (Effectif détaillé)'!$K$52+'Porc (Effectif détaillé)'!$K$54*0.6, 0), 0)+                                                                                                                                   IF('Feuille saisie commune'!$F$15="Fumière ( fumier paille frais )", IF('Feuille saisie commune'!$C$15="Truies et verrats", 'Porc (Effectif détaillé)'!$K$49+'Porc (Effectif détaillé)'!$K$53+'Porc (Effectif détaillé)'!$K$54*0.4, 0), 0)+IF('Feuille saisie commune'!$F$16="Fumière ( fumier paille frais )", IF('Feuille saisie commune'!$C$16="Truies et verrats", 'Porc (Effectif détaillé)'!$K$49+'Porc (Effectif détaillé)'!$K$53+'Porc (Effectif détaillé)'!$K$54*0.4, 0), 0)+IF('Feuille saisie commune'!$F$17="Fumière ( fumier paille frais )", IF('Feuille saisie commune'!$C$17="Truies et verrats", 'Porc (Effectif détaillé)'!$K$49+'Porc (Effectif détaillé)'!$K$53+'Porc (Effectif détaillé)'!$K$54*0.4, 0), 0)+IF('Feuille saisie commune'!$F$47="Fumière ( fumier paille frais )", IF('Feuille saisie commune'!$B$48="Truies et verrats", 'Porc (Effectif détaillé)'!$K$49+'Porc (Effectif détaillé)'!$K$53+'Porc (Effectif détaillé)'!$K$54*0.4, 0), 0)+                                                                                                                                                                                                              IF('Feuille saisie commune'!$F$15="Fumière ( fumier paille frais )", IF('Feuille saisie commune'!$C$15="Post-sevrage", 'Porc (Effectif détaillé)'!$K$50, 0), 0)+IF('Feuille saisie commune'!$F$16="Fumière ( fumier paille frais )", IF('Feuille saisie commune'!$C$16="Post-sevrage", 'Porc (Effectif détaillé)'!$K$50, 0), 0)+IF('Feuille saisie commune'!$F$17="Fumière ( fumier paille frais )", IF('Feuille saisie commune'!$C$17="Post-sevrage", 'Porc (Effectif détaillé)'!$K$50, 0), 0)+IF('Feuille saisie commune'!$F$47="Fumière ( fumier paille frais )", IF('Feuille saisie commune'!$B$48="Post-sevrage", 'Porc (Effectif détaillé)'!$K$50, 0), 0)</f>
        <v>0</v>
      </c>
      <c r="G140" s="152">
        <f t="shared" si="5"/>
        <v>0</v>
      </c>
      <c r="H140" s="153" t="s">
        <v>601</v>
      </c>
      <c r="I140" s="165"/>
    </row>
    <row r="141" spans="2:9" x14ac:dyDescent="0.25">
      <c r="B141" s="148" t="s">
        <v>594</v>
      </c>
      <c r="C141" s="151">
        <f>IF('Feuille saisie commune'!$F$15="Fumière ( fumier paille frais )", IF('Feuille saisie commune'!$C$15="Porcs charcutiers", 'Porc (Effectif détaillé)'!$N$44, 0), 0)+IF('Feuille saisie commune'!$F$16="Fumière ( fumier paille frais )", IF('Feuille saisie commune'!$C$16="Porcs charcutiers", 'Porc (Effectif détaillé)'!$N$44, 0), 0)+IF('Feuille saisie commune'!$F$17="Fumière ( fumier paille frais )", IF('Feuille saisie commune'!$C$17="Porcs charcutiers", 'Porc (Effectif détaillé)'!$N$44, 0), 0)+IF('Feuille saisie commune'!$F$47="Fumière ( fumier paille frais )", IF('Feuille saisie commune'!$B$48="Porcs charcutiers", 'Porc (Effectif détaillé)'!$N$44, 0), 0)+                                                                                                                                                                                      IF('Feuille saisie commune'!$F$15="Fumière ( fumier paille frais )", IF('Feuille saisie commune'!$C$15="Truies et verrats", 'Porc (Effectif détaillé)'!$N$41+'Porc (Effectif détaillé)'!$N$42, 0), 0)+IF('Feuille saisie commune'!$F$16="Fumière ( fumier paille frais )", IF('Feuille saisie commune'!$C$16="Truies et verrats", 'Porc (Effectif détaillé)'!$N$41+'Porc (Effectif détaillé)'!$N$42, 0), 0)+IF('Feuille saisie commune'!$F$17="Fumière ( fumier paille frais )", IF('Feuille saisie commune'!$C$17="Truies et verrats", 'Porc (Effectif détaillé)'!$N$41+'Porc (Effectif détaillé)'!$N$42, 0), 0)+IF('Feuille saisie commune'!$F$47="Fumière ( fumier paille frais )", IF('Feuille saisie commune'!$B$48="Truies et verrats", 'Porc (Effectif détaillé)'!$N$41+'Porc (Effectif détaillé)'!$N$42, 0), 0)+                                                                                                         IF('Feuille saisie commune'!$F$15="Fumière ( fumier paille frais )", IF('Feuille saisie commune'!$C$15="Post-sevrage", 'Porc (Effectif détaillé)'!$N$43, 0), 0)+IF('Feuille saisie commune'!$F$16="Fumière ( fumier paille frais )", IF('Feuille saisie commune'!$C$16="Post-sevrage", 'Porc (Effectif détaillé)'!$N$43, 0), 0)+IF('Feuille saisie commune'!$F$17="Fumière ( fumier paille frais )", IF('Feuille saisie commune'!$C$17="Post-sevrage", 'Porc (Effectif détaillé)'!$N$43, 0), 0)+IF('Feuille saisie commune'!$F$47="Fumière ( fumier paille frais )", IF('Feuille saisie commune'!$B$48="Post-sevrage", 'Porc (Effectif détaillé)'!$N$43, 0), 0)</f>
        <v>0</v>
      </c>
      <c r="D141" s="151">
        <f>IF('Feuille saisie commune'!$F$15="Fumière ( fumier paille frais )", IF('Feuille saisie commune'!$C$15="Porcs charcutiers", 'Porc (Effectif détaillé)'!$O$44, 0), 0)+IF('Feuille saisie commune'!$F$16="Fumière ( fumier paille frais )", IF('Feuille saisie commune'!$C$16="Porcs charcutiers", 'Porc (Effectif détaillé)'!$O$44, 0), 0)+IF('Feuille saisie commune'!$F$17="Fumière ( fumier paille frais )", IF('Feuille saisie commune'!$C$17="Porcs charcutiers", 'Porc (Effectif détaillé)'!$O$44, 0), 0)+IF('Feuille saisie commune'!$F$47="Fumière ( fumier paille frais )", IF('Feuille saisie commune'!$B$48="Porcs charcutiers", 'Porc (Effectif détaillé)'!$O$44, 0), 0)+                                                                                                                                                                                               IF('Feuille saisie commune'!$F$15="Fumière ( fumier paille frais )", IF('Feuille saisie commune'!$C$15="Truies et verrats", 'Porc (Effectif détaillé)'!$O$41+'Porc (Effectif détaillé)'!$O$42, 0), 0)+IF('Feuille saisie commune'!$F$16="Fumière ( fumier paille frais )", IF('Feuille saisie commune'!$C$16="Truies et verrats", 'Porc (Effectif détaillé)'!$O$41+'Porc (Effectif détaillé)'!$O$42, 0), 0)+IF('Feuille saisie commune'!$F$17="Fumière ( fumier paille frais )", IF('Feuille saisie commune'!$C$17="Truies et verrats", 'Porc (Effectif détaillé)'!$O$41+'Porc (Effectif détaillé)'!$O$42, 0), 0)+IF('Feuille saisie commune'!$F$47="Fumière ( fumier paille frais )", IF('Feuille saisie commune'!$B$48="Truies et verrats", 'Porc (Effectif détaillé)'!$O$41+'Porc (Effectif détaillé)'!$O$42, 0), 0)+                                                                                                                                                IF('Feuille saisie commune'!$F$15="Fumière ( fumier paille frais )", IF('Feuille saisie commune'!$C$15="Post-sevrage", 'Porc (Effectif détaillé)'!$O$43, 0), 0)+IF('Feuille saisie commune'!$F$16="Fumière ( fumier paille frais )", IF('Feuille saisie commune'!$C$16="Post-sevrage", 'Porc (Effectif détaillé)'!$O$43, 0), 0)+IF('Feuille saisie commune'!$F$17="Fumière ( fumier paille frais )", IF('Feuille saisie commune'!$C$17="Post-sevrage", 'Porc (Effectif détaillé)'!$O$43, 0), 0)+IF('Feuille saisie commune'!$F$47="Fumière ( fumier paille frais )", IF('Feuille saisie commune'!$B$48="Post-sevrage", 'Porc (Effectif détaillé)'!$O$43, 0), 0)</f>
        <v>0</v>
      </c>
      <c r="E141" s="163">
        <f>IF('Feuille saisie commune'!$F$15="Fumière ( fumier paille frais )", IF('Feuille saisie commune'!$C$15="Porcs charcutiers", 'Porc (Effectif détaillé)'!$R$50, 0), 0)+IF('Feuille saisie commune'!$F$16="Fumière ( fumier paille frais )", IF('Feuille saisie commune'!$C$16="Porcs charcutiers", 'Porc (Effectif détaillé)'!$R$50, 0), 0)+IF('Feuille saisie commune'!$F$17="Fumière ( fumier paille frais )", IF('Feuille saisie commune'!$C$17="Porcs charcutiers", 'Porc (Effectif détaillé)'!$R$50, 0), 0)+IF('Feuille saisie commune'!$F$47="Fumière ( fumier paille frais )", IF('Feuille saisie commune'!$B$48="Porcs charcutiers", 'Porc (Effectif détaillé)'!$R$50, 0), 0)+                                                                                                                                                                                            IF('Feuille saisie commune'!$F$15="Fumière ( fumier paille frais )", IF('Feuille saisie commune'!$C$15="Truies et verrats", 'Porc (Effectif détaillé)'!$R$51, 0), 0)+IF('Feuille saisie commune'!$F$16="Fumière ( fumier paille frais )", IF('Feuille saisie commune'!$C$16="Truies et verrats", 'Porc (Effectif détaillé)'!$R$51, 0), 0)+IF('Feuille saisie commune'!$F$17="Fumière ( fumier paille frais )", IF('Feuille saisie commune'!$C$17="Truies et verrats", 'Porc (Effectif détaillé)'!$R$51, 0), 0)+IF('Feuille saisie commune'!$F$47="Fumière ( fumier paille frais )", IF('Feuille saisie commune'!$B$48="Truies et verrats", 'Porc (Effectif détaillé)'!$R$51, 0), 0)+                                                                                                                                                                                                                                               IF('Feuille saisie commune'!$F$15="Fumière ( fumier paille frais )", IF('Feuille saisie commune'!$C$15="Post-sevrage", 'Porc (Effectif détaillé)'!$R$49, 0), 0)+IF('Feuille saisie commune'!$F$16="Fumière ( fumier paille frais )", IF('Feuille saisie commune'!$C$16="Post-sevrage", 'Porc (Effectif détaillé)'!$R$49, 0), 0)+IF('Feuille saisie commune'!$F$17="Fumière ( fumier paille frais )", IF('Feuille saisie commune'!$C$17="Post-sevrage", 'Porc (Effectif détaillé)'!$R$49, 0), 0)+IF('Feuille saisie commune'!$F$47="Fumière ( fumier paille frais )", IF('Feuille saisie commune'!$B$48="Post-sevrage", 'Porc (Effectif détaillé)'!$R$49, 0), 0)</f>
        <v>0</v>
      </c>
      <c r="F141" s="163">
        <f>IF('Feuille saisie commune'!$F$15="Fumière ( fumier paille frais )", IF('Feuille saisie commune'!$C$15="Porcs charcutiers", 'Porc (Effectif détaillé)'!$L$51+'Porc (Effectif détaillé)'!$L$52+'Porc (Effectif détaillé)'!$L$54*0.6, 0), 0)+IF('Feuille saisie commune'!$F$16="Fumière ( fumier paille frais )", IF('Feuille saisie commune'!$C$16="Porcs charcutiers", 'Porc (Effectif détaillé)'!$L$51+'Porc (Effectif détaillé)'!$L$52+'Porc (Effectif détaillé)'!$L$54*0.6, 0), 0)+IF('Feuille saisie commune'!$F$17="Fumière ( fumier paille frais )", IF('Feuille saisie commune'!$C$17="Porcs charcutiers", 'Porc (Effectif détaillé)'!$L$51+'Porc (Effectif détaillé)'!$L$52+'Porc (Effectif détaillé)'!$L$54*0.6, 0), 0)+IF('Feuille saisie commune'!$F$47="Fumière ( fumier paille frais )", IF('Feuille saisie commune'!$B$48="Porcs charcutiers", 'Porc (Effectif détaillé)'!$L$51+'Porc (Effectif détaillé)'!$L$52+'Porc (Effectif détaillé)'!$L$54*0.6, 0), 0)+                                                                                                                                   IF('Feuille saisie commune'!$F$15="Fumière ( fumier paille frais )", IF('Feuille saisie commune'!$C$15="Truies et verrats", 'Porc (Effectif détaillé)'!$L$49+'Porc (Effectif détaillé)'!$L$53+'Porc (Effectif détaillé)'!$L$54*0.4, 0), 0)+IF('Feuille saisie commune'!$F$16="Fumière ( fumier paille frais )", IF('Feuille saisie commune'!$C$16="Truies et verrats", 'Porc (Effectif détaillé)'!$L$49+'Porc (Effectif détaillé)'!$L$53+'Porc (Effectif détaillé)'!$L$54*0.4, 0), 0)+IF('Feuille saisie commune'!$F$17="Fumière ( fumier paille frais )", IF('Feuille saisie commune'!$C$17="Truies et verrats", 'Porc (Effectif détaillé)'!$I$49+'Porc (Effectif détaillé)'!$I$53+'Porc (Effectif détaillé)'!$I$54*0.4, 0), 0)+IF('Feuille saisie commune'!$F$47="Fumière ( fumier paille frais )", IF('Feuille saisie commune'!$B$48="Truies et verrats", 'Porc (Effectif détaillé)'!$L$49+'Porc (Effectif détaillé)'!$L$53+'Porc (Effectif détaillé)'!$L$54*0.4, 0), 0)+                                                                                                                                                                                                              IF('Feuille saisie commune'!$F$15="Fumière ( fumier paille frais )", IF('Feuille saisie commune'!$C$15="Post-sevrage", 'Porc (Effectif détaillé)'!$L$50, 0), 0)+IF('Feuille saisie commune'!$F$16="Fumière ( fumier paille frais )", IF('Feuille saisie commune'!$C$16="Post-sevrage", 'Porc (Effectif détaillé)'!$L$50, 0), 0)+IF('Feuille saisie commune'!$F$17="Fumière ( fumier paille frais )", IF('Feuille saisie commune'!$C$17="Post-sevrage", 'Porc (Effectif détaillé)'!$L$50, 0), 0)+IF('Feuille saisie commune'!$F$47="Fumière ( fumier paille frais )", IF('Feuille saisie commune'!$B$48="Post-sevrage", 'Porc (Effectif détaillé)'!$L$50, 0), 0)</f>
        <v>0</v>
      </c>
      <c r="G141" s="152">
        <f t="shared" si="5"/>
        <v>0</v>
      </c>
      <c r="H141" s="153" t="s">
        <v>602</v>
      </c>
      <c r="I141" s="112"/>
    </row>
    <row r="142" spans="2:9" x14ac:dyDescent="0.25">
      <c r="B142" s="148" t="s">
        <v>596</v>
      </c>
      <c r="C142" s="154">
        <f>IF('Feuille saisie commune'!$F$15="Fumière ( fumier paille frais )", IF('Feuille saisie commune'!$C$15="Porcs charcutiers", 'Porc (Effectif détaillé)'!$P$44, 0), 0)+IF('Feuille saisie commune'!$F$16="Fumière ( fumier paille frais )", IF('Feuille saisie commune'!$C$16="Porcs charcutiers", 'Porc (Effectif détaillé)'!$P$44, 0), 0)+IF('Feuille saisie commune'!$F$17="Fumière ( fumier paille frais )", IF('Feuille saisie commune'!$C$17="Porcs charcutiers", 'Porc (Effectif détaillé)'!$P$44, 0), 0)+IF('Feuille saisie commune'!$F$47="Fumière ( fumier paille frais )", IF('Feuille saisie commune'!$B$48="Porcs charcutiers", 'Porc (Effectif détaillé)'!$P$44, 0), 0)+                                                                                                                                                                                              IF('Feuille saisie commune'!$F$15="Fumière ( fumier paille frais )", IF('Feuille saisie commune'!$C$15="Truies et verrats", 'Porc (Effectif détaillé)'!$P$41+'Porc (Effectif détaillé)'!$P$42, 0), 0)+IF('Feuille saisie commune'!$F$16="Fumière ( fumier paille frais )", IF('Feuille saisie commune'!$C$16="Truies et verrats", 'Porc (Effectif détaillé)'!$P$41+'Porc (Effectif détaillé)'!$P$42, 0), 0)+IF('Feuille saisie commune'!$F$17="Fumière ( fumier paille frais )", IF('Feuille saisie commune'!$C$17="Truies et verrats", 'Porc (Effectif détaillé)'!$P$41+'Porc (Effectif détaillé)'!$P$42, 0), 0)+IF('Feuille saisie commune'!$F$47="Fumière ( fumier paille frais )", IF('Feuille saisie commune'!$B$48="Truies et verrats", 'Porc (Effectif détaillé)'!$P$41+'Porc (Effectif détaillé)'!$P$42, 0), 0)+                                                                                                            IF('Feuille saisie commune'!$F$15="Fumière ( fumier paille frais )", IF('Feuille saisie commune'!$C$15="Post-sevrage", 'Porc (Effectif détaillé)'!$P$43, 0), 0)+IF('Feuille saisie commune'!$F$16="Fumière ( fumier paille frais )", IF('Feuille saisie commune'!$C$16="Post-sevrage", 'Porc (Effectif détaillé)'!$P$43, 0), 0)+IF('Feuille saisie commune'!$F$17="Fumière ( fumier paille frais )", IF('Feuille saisie commune'!$C$17="Post-sevrage", 'Porc (Effectif détaillé)'!$P$43, 0), 0)+IF('Feuille saisie commune'!$F$47="Fumière ( fumier paille frais )", IF('Feuille saisie commune'!$B$48="Post-sevrage", 'Porc (Effectif détaillé)'!$P$43, 0), 0)</f>
        <v>0</v>
      </c>
      <c r="D142" s="154">
        <f>IF('Feuille saisie commune'!$F$15="Fumière ( fumier paille frais )", IF('Feuille saisie commune'!$C$15="Porcs charcutiers", 'Porc (Effectif détaillé)'!$Q$44, 0), 0)+IF('Feuille saisie commune'!$F$16="Fumière ( fumier paille frais )", IF('Feuille saisie commune'!$C$16="Porcs charcutiers", 'Porc (Effectif détaillé)'!$Q$44, 0), 0)+IF('Feuille saisie commune'!$F$17="Fumière ( fumier paille frais )", IF('Feuille saisie commune'!$C$17="Porcs charcutiers", 'Porc (Effectif détaillé)'!$Q$44, 0), 0)+IF('Feuille saisie commune'!$F$47="Fumière ( fumier paille frais )", IF('Feuille saisie commune'!$B$48="Porcs charcutiers", 'Porc (Effectif détaillé)'!$Q$44, 0), 0)+                                                                                                                                                                                              IF('Feuille saisie commune'!$F$15="Fumière ( fumier paille frais )", IF('Feuille saisie commune'!$C$15="Truies et verrats", 'Porc (Effectif détaillé)'!$Q$41+'Porc (Effectif détaillé)'!$Q$42, 0), 0)+IF('Feuille saisie commune'!$F$16="Fumière ( fumier paille frais )", IF('Feuille saisie commune'!$C$16="Truies et verrats", 'Porc (Effectif détaillé)'!$Q$41+'Porc (Effectif détaillé)'!$Q$42, 0), 0)+IF('Feuille saisie commune'!$F$17="Fumière ( fumier paille frais )", IF('Feuille saisie commune'!$C$17="Truies et verrats", 'Porc (Effectif détaillé)'!$Q$41+'Porc (Effectif détaillé)'!$Q$42, 0), 0)+IF('Feuille saisie commune'!$F$47="Fumière ( fumier paille frais )", IF('Feuille saisie commune'!$B$48="Truies et verrats", 'Porc (Effectif détaillé)'!$Q$41+'Porc (Effectif détaillé)'!$Q$42, 0), 0)+                                                                                                                                               IF('Feuille saisie commune'!$F$15="Fumière ( fumier paille frais )", IF('Feuille saisie commune'!$C$15="Post-sevrage", 'Porc (Effectif détaillé)'!$Q$43, 0), 0)+IF('Feuille saisie commune'!$F$16="Fumière ( fumier paille frais )", IF('Feuille saisie commune'!$C$16="Post-sevrage", 'Porc (Effectif détaillé)'!$Q$43, 0), 0)+IF('Feuille saisie commune'!$F$17="Fumière ( fumier paille frais )", IF('Feuille saisie commune'!$C$17="Post-sevrage", 'Porc (Effectif détaillé)'!$Q$43, 0), 0)+IF('Feuille saisie commune'!$F$47="Fumière ( fumier paille frais )", IF('Feuille saisie commune'!$B$48="Post-sevrage", 'Porc (Effectif détaillé)'!$Q$43, 0), 0)</f>
        <v>0</v>
      </c>
      <c r="E142" s="166">
        <f>IF('Feuille saisie commune'!$F$15="Fumière ( fumier paille frais )", IF('Feuille saisie commune'!$C$15="Porcs charcutiers", 'Porc (Effectif détaillé)'!$S$50, 0), 0)+IF('Feuille saisie commune'!$F$16="Fumière ( fumier paille frais )", IF('Feuille saisie commune'!$C$16="Porcs charcutiers", 'Porc (Effectif détaillé)'!$S$50, 0), 0)+IF('Feuille saisie commune'!$F$17="Fumière ( fumier paille frais )", IF('Feuille saisie commune'!$C$17="Porcs charcutiers", 'Porc (Effectif détaillé)'!$S$50, 0), 0)+IF('Feuille saisie commune'!$F$47="Fumière ( fumier paille frais )", IF('Feuille saisie commune'!$B$48="Porcs charcutiers", 'Porc (Effectif détaillé)'!$S$50, 0), 0)+                                                                                                                                                                                            IF('Feuille saisie commune'!$F$15="Fumière ( fumier paille frais )", IF('Feuille saisie commune'!$C$15="Truies et verrats", 'Porc (Effectif détaillé)'!$S$51, 0), 0)+IF('Feuille saisie commune'!$F$16="Fumière ( fumier paille frais )", IF('Feuille saisie commune'!$C$16="Truies et verrats", 'Porc (Effectif détaillé)'!$S$51, 0), 0)+IF('Feuille saisie commune'!$F$17="Fumière ( fumier paille frais )", IF('Feuille saisie commune'!$C$17="Truies et verrats", 'Porc (Effectif détaillé)'!$S$51, 0), 0)+IF('Feuille saisie commune'!$F$47="Fumière ( fumier paille frais )", IF('Feuille saisie commune'!$B$48="Truies et verrats", 'Porc (Effectif détaillé)'!$S$51, 0), 0)+                                                                                                                                                                                                                                               IF('Feuille saisie commune'!$F$15="Fumière ( fumier paille frais )", IF('Feuille saisie commune'!$C$15="Post-sevrage", 'Porc (Effectif détaillé)'!$S$49, 0), 0)+IF('Feuille saisie commune'!$F$16="Fumière ( fumier paille frais )", IF('Feuille saisie commune'!$C$16="Post-sevrage", 'Porc (Effectif détaillé)'!$S$49, 0), 0)+IF('Feuille saisie commune'!$F$17="Fumière ( fumier paille frais )", IF('Feuille saisie commune'!$C$17="Post-sevrage", 'Porc (Effectif détaillé)'!$S$49, 0), 0)+IF('Feuille saisie commune'!$F$47="Fumière ( fumier paille frais )", IF('Feuille saisie commune'!$B$48="Post-sevrage", 'Porc (Effectif détaillé)'!$S$49, 0), 0)</f>
        <v>0</v>
      </c>
      <c r="F142" s="166">
        <f>IF('Feuille saisie commune'!$F$15="Fumière ( fumier paille frais )", IF('Feuille saisie commune'!$C$15="Porcs charcutiers", 'Porc (Effectif détaillé)'!$M$51+'Porc (Effectif détaillé)'!$M$52+'Porc (Effectif détaillé)'!$M$54*0.6, 0), 0)+IF('Feuille saisie commune'!$F$16="Fumière ( fumier paille frais )", IF('Feuille saisie commune'!$C$16="Porcs charcutiers", 'Porc (Effectif détaillé)'!$M$51+'Porc (Effectif détaillé)'!$M$52+'Porc (Effectif détaillé)'!$M$54*0.6, 0), 0)+IF('Feuille saisie commune'!$F$17="Fumière ( fumier paille frais )", IF('Feuille saisie commune'!$C$17="Porcs charcutiers", 'Porc (Effectif détaillé)'!$M$51+'Porc (Effectif détaillé)'!$M$52+'Porc (Effectif détaillé)'!$M$54*0.6, 0), 0)+IF('Feuille saisie commune'!$F$47="Fumière ( fumier paille frais )", IF('Feuille saisie commune'!$B$48="Porcs charcutiers", 'Porc (Effectif détaillé)'!$M$51+'Porc (Effectif détaillé)'!$M$52+'Porc (Effectif détaillé)'!$M$54*0.6, 0), 0)+                                                                                                                                   IF('Feuille saisie commune'!$F$15="Fumière ( fumier paille frais )", IF('Feuille saisie commune'!$C$15="Truies et verrats", 'Porc (Effectif détaillé)'!$M$49+'Porc (Effectif détaillé)'!$M$53+'Porc (Effectif détaillé)'!$M$54*0.4, 0), 0)+IF('Feuille saisie commune'!$F$16="Fumière ( fumier paille frais )", IF('Feuille saisie commune'!$C$16="Truies et verrats", 'Porc (Effectif détaillé)'!$M$49+'Porc (Effectif détaillé)'!$M$53+'Porc (Effectif détaillé)'!$M$54*0.4, 0), 0)+IF('Feuille saisie commune'!$F$17="Fumière ( fumier paille frais )", IF('Feuille saisie commune'!$C$17="Truies et verrats", 'Porc (Effectif détaillé)'!$M$49+'Porc (Effectif détaillé)'!$M$53+'Porc (Effectif détaillé)'!$M$54*0.4, 0), 0)+IF('Feuille saisie commune'!$F$47="Fumière ( fumier paille frais )", IF('Feuille saisie commune'!$B$48="Truies et verrats", 'Porc (Effectif détaillé)'!$M$49+'Porc (Effectif détaillé)'!$M$53+'Porc (Effectif détaillé)'!$M$54*0.4, 0), 0)+                                                                                                                                                                                                              IF('Feuille saisie commune'!$F$15="Fumière ( fumier paille frais )", IF('Feuille saisie commune'!$C$15="Post-sevrage", 'Porc (Effectif détaillé)'!$M$50, 0), 0)+IF('Feuille saisie commune'!$F$16="Fumière ( fumier paille frais )", IF('Feuille saisie commune'!$C$16="Post-sevrage", 'Porc (Effectif détaillé)'!$M$50, 0), 0)+IF('Feuille saisie commune'!$F$17="Fumière ( fumier paille frais )", IF('Feuille saisie commune'!$C$17="Post-sevrage", 'Porc (Effectif détaillé)'!$M$50, 0), 0)+IF('Feuille saisie commune'!$F$47="Fumière ( fumier paille frais )", IF('Feuille saisie commune'!$B$48="Post-sevrage", 'Porc (Effectif détaillé)'!$M$50, 0), 0)</f>
        <v>0</v>
      </c>
      <c r="G142" s="152">
        <f t="shared" si="5"/>
        <v>0</v>
      </c>
      <c r="H142" s="153"/>
      <c r="I142" s="112"/>
    </row>
    <row r="143" spans="2:9" x14ac:dyDescent="0.25">
      <c r="B143" s="155" t="s">
        <v>597</v>
      </c>
      <c r="C143" s="156">
        <f>IF('Feuille saisie commune'!$F$15="Fumière ( fumier paille frais )", IF('Feuille saisie commune'!$C$15="Porcs charcutiers", 'Porc (Effectif détaillé)'!$R$44, 0), 0)+IF('Feuille saisie commune'!$F$16="Fumière ( fumier paille frais )", IF('Feuille saisie commune'!$C$16="Porcs charcutiers", 'Porc (Effectif détaillé)'!$R$44, 0), 0)+IF('Feuille saisie commune'!$F$17="Fumière ( fumier paille frais )", IF('Feuille saisie commune'!$C$17="Porcs charcutiers", 'Porc (Effectif détaillé)'!$R$44, 0), 0)+IF('Feuille saisie commune'!$F$47="Fumière ( fumier paille frais )", IF('Feuille saisie commune'!$B$48="Porcs charcutiers", 'Porc (Effectif détaillé)'!$R$44, 0), 0) +                                                                                                                                                                                            IF('Feuille saisie commune'!$F$15="Fumière ( fumier paille frais )", IF('Feuille saisie commune'!$C$15="Truies et verrats", 'Porc (Effectif détaillé)'!$R$41+'Porc (Effectif détaillé)'!$R$42, 0), 0)+IF('Feuille saisie commune'!$F$16="Fumière ( fumier paille frais )", IF('Feuille saisie commune'!$C$16="Truies et verrats", 'Porc (Effectif détaillé)'!$R$41+'Porc (Effectif détaillé)'!$R$42, 0), 0)+IF('Feuille saisie commune'!$F$17="Fumière ( fumier paille frais )", IF('Feuille saisie commune'!$C$17="Truies et verrats", 'Porc (Effectif détaillé)'!$R$41+'Porc (Effectif détaillé)'!$R$42, 0), 0)+IF('Feuille saisie commune'!$F$47="Fumière ( fumier paille frais )", IF('Feuille saisie commune'!$B$48="Truies et verrats", 'Porc (Effectif détaillé)'!$R$41+'Porc (Effectif détaillé)'!$R$42, 0), 0)+                                                                                                            IF('Feuille saisie commune'!$F$15="Fumière ( fumier paille frais )", IF('Feuille saisie commune'!$C$15="Post-sevrage", 'Porc (Effectif détaillé)'!$R$43, 0), 0)+IF('Feuille saisie commune'!$F$16="Fumière ( fumier paille frais )", IF('Feuille saisie commune'!$C$16="Post-sevrage", 'Porc (Effectif détaillé)'!$R$43, 0), 0)+IF('Feuille saisie commune'!$F$17="Fumière ( fumier paille frais )", IF('Feuille saisie commune'!$C$17="Post-sevrage", 'Porc (Effectif détaillé)'!$R$43, 0), 0)+IF('Feuille saisie commune'!$F$47="Fumière ( fumier paille frais )", IF('Feuille saisie commune'!$B$48="Post-sevrage", 'Porc (Effectif détaillé)'!$R$43, 0), 0)</f>
        <v>0</v>
      </c>
      <c r="D143" s="156">
        <f>IF('Feuille saisie commune'!$F$15="Fumière ( fumier paille frais )", IF('Feuille saisie commune'!$C$15="Porcs charcutiers", 'Porc (Effectif détaillé)'!$S$44, 0), 0)+IF('Feuille saisie commune'!$F$16="Fumière ( fumier paille frais )", IF('Feuille saisie commune'!$C$16="Porcs charcutiers", 'Porc (Effectif détaillé)'!$S$44, 0), 0)+IF('Feuille saisie commune'!$F$17="Fumière ( fumier paille frais )", IF('Feuille saisie commune'!$C$17="Porcs charcutiers", 'Porc (Effectif détaillé)'!$S$44, 0), 0)+IF('Feuille saisie commune'!$F$47="Fumière ( fumier paille frais )", IF('Feuille saisie commune'!$B$48="Porcs charcutiers", 'Porc (Effectif détaillé)'!$S$44, 0), 0)+                                                                                                                                                                                               IF('Feuille saisie commune'!$F$15="Fumière ( fumier paille frais )", IF('Feuille saisie commune'!$C$15="Truies et verrats", 'Porc (Effectif détaillé)'!$S$41+'Porc (Effectif détaillé)'!$S$42, 0), 0)+IF('Feuille saisie commune'!$F$16="Fumière ( fumier paille frais )", IF('Feuille saisie commune'!$C$16="Truies et verrats", 'Porc (Effectif détaillé)'!$S$41+'Porc (Effectif détaillé)'!$S$42, 0), 0)+IF('Feuille saisie commune'!$F$17="Fumière ( fumier paille frais )", IF('Feuille saisie commune'!$C$17="Truies et verrats", 'Porc (Effectif détaillé)'!$S$41+'Porc (Effectif détaillé)'!$S$42, 0), 0)+IF('Feuille saisie commune'!$F$47="Fumière ( fumier paille frais )", IF('Feuille saisie commune'!$B$48="Truies et verrats", 'Porc (Effectif détaillé)'!$S$41+'Porc (Effectif détaillé)'!$S$42, 0), 0)+                                                                                                           IF('Feuille saisie commune'!$F$15="Fumière ( fumier paille frais )", IF('Feuille saisie commune'!$C$15="Post-sevrage", 'Porc (Effectif détaillé)'!$S$43, 0), 0)+IF('Feuille saisie commune'!$F$16="Fumière ( fumier paille frais )", IF('Feuille saisie commune'!$C$16="Post-sevrage", 'Porc (Effectif détaillé)'!$S$43, 0), 0)+IF('Feuille saisie commune'!$F$17="Fumière ( fumier paille frais )", IF('Feuille saisie commune'!$C$17="Post-sevrage", 'Porc (Effectif détaillé)'!$S$43, 0), 0)+IF('Feuille saisie commune'!$F$47="Fumière ( fumier paille frais )", IF('Feuille saisie commune'!$B$48="Post-sevrage", 'Porc (Effectif détaillé)'!$S$43, 0), 0)</f>
        <v>0</v>
      </c>
      <c r="E143" s="167">
        <f>IF('Feuille saisie commune'!$F$15="Fumière ( fumier paille frais )", IF('Feuille saisie commune'!$C$15="Porcs charcutiers", 'Porc (Effectif détaillé)'!$T$50, 0), 0)+IF('Feuille saisie commune'!$F$16="Fumière ( fumier paille frais )", IF('Feuille saisie commune'!$C$16="Porcs charcutiers", 'Porc (Effectif détaillé)'!$T$50, 0), 0)+IF('Feuille saisie commune'!$F$17="Fumière ( fumier paille frais )", IF('Feuille saisie commune'!$C$17="Porcs charcutiers", 'Porc (Effectif détaillé)'!$T$50, 0), 0)+IF('Feuille saisie commune'!$F$47="Fumière ( fumier paille frais )", IF('Feuille saisie commune'!$B$48="Porcs charcutiers", 'Porc (Effectif détaillé)'!$T$50, 0), 0)+                                                                                                                                                                                            IF('Feuille saisie commune'!$F$15="Fumière ( fumier paille frais )", IF('Feuille saisie commune'!$C$15="Truies et verrats", 'Porc (Effectif détaillé)'!$T$51, 0), 0)+IF('Feuille saisie commune'!$F$16="Fumière ( fumier paille frais )", IF('Feuille saisie commune'!$C$16="Truies et verrats", 'Porc (Effectif détaillé)'!$T$51, 0), 0)+IF('Feuille saisie commune'!$F$17="Fumière ( fumier paille frais )", IF('Feuille saisie commune'!$C$17="Truies et verrats", 'Porc (Effectif détaillé)'!$T$51, 0), 0)+IF('Feuille saisie commune'!$F$47="Fumière ( fumier paille frais )", IF('Feuille saisie commune'!$B$48="Truies et verrats", 'Porc (Effectif détaillé)'!$T$51, 0), 0)+                                                                                                                                                                                                                                               IF('Feuille saisie commune'!$F$15="Fumière ( fumier paille frais )", IF('Feuille saisie commune'!$C$15="Post-sevrage", 'Porc (Effectif détaillé)'!$T$49, 0), 0)+IF('Feuille saisie commune'!$F$16="Fumière ( fumier paille frais )", IF('Feuille saisie commune'!$C$16="Post-sevrage", 'Porc (Effectif détaillé)'!$T$49, 0), 0)+IF('Feuille saisie commune'!$F$17="Fumière ( fumier paille frais )", IF('Feuille saisie commune'!$C$17="Post-sevrage", 'Porc (Effectif détaillé)'!$T$49, 0), 0)+IF('Feuille saisie commune'!$F$47="Fumière ( fumier paille frais )", IF('Feuille saisie commune'!$B$48="Post-sevrage", 'Porc (Effectif détaillé)'!$T$49, 0), 0)</f>
        <v>0</v>
      </c>
      <c r="F143" s="167">
        <f>IF('Feuille saisie commune'!$F$15="Fumière ( fumier paille frais )", IF('Feuille saisie commune'!$C$15="Porcs charcutiers", 'Porc (Effectif détaillé)'!$N$51+'Porc (Effectif détaillé)'!$N$52+'Porc (Effectif détaillé)'!$N$54*0.6, 0), 0)+IF('Feuille saisie commune'!$F$16="Fumière ( fumier paille frais )", IF('Feuille saisie commune'!$C$16="Porcs charcutiers", 'Porc (Effectif détaillé)'!$N$51+'Porc (Effectif détaillé)'!$N$52+'Porc (Effectif détaillé)'!$N$54*0.6, 0), 0)+IF('Feuille saisie commune'!$F$17="Fumière ( fumier paille frais )", IF('Feuille saisie commune'!$C$17="Porcs charcutiers", 'Porc (Effectif détaillé)'!$N$51+'Porc (Effectif détaillé)'!$N$52+'Porc (Effectif détaillé)'!$N$54*0.6, 0), 0)+IF('Feuille saisie commune'!$F$47="Fumière ( fumier paille frais )", IF('Feuille saisie commune'!$B$48="Porcs charcutiers", 'Porc (Effectif détaillé)'!$N$51+'Porc (Effectif détaillé)'!$N$52+'Porc (Effectif détaillé)'!$N$54*0.6, 0), 0)+                                                                                                                                   IF('Feuille saisie commune'!$F$15="Fumière ( fumier paille frais )", IF('Feuille saisie commune'!$C$15="Truies et verrats", 'Porc (Effectif détaillé)'!$N$49+'Porc (Effectif détaillé)'!$N$53+'Porc (Effectif détaillé)'!$N$54*0.4, 0), 0)+IF('Feuille saisie commune'!$F$16="Fumière ( fumier paille frais )", IF('Feuille saisie commune'!$C$16="Truies et verrats", 'Porc (Effectif détaillé)'!$N$49+'Porc (Effectif détaillé)'!$N$53+'Porc (Effectif détaillé)'!$N$54*0.4, 0), 0)+IF('Feuille saisie commune'!$F$17="Fumière ( fumier paille frais )", IF('Feuille saisie commune'!$C$17="Truies et verrats", 'Porc (Effectif détaillé)'!$N$49+'Porc (Effectif détaillé)'!$N$53+'Porc (Effectif détaillé)'!$N$54*0.4, 0), 0)+IF('Feuille saisie commune'!$F$47="Fumière ( fumier paille frais )", IF('Feuille saisie commune'!$B$48="Truies et verrats", 'Porc (Effectif détaillé)'!$N$49+'Porc (Effectif détaillé)'!$N$53+'Porc (Effectif détaillé)'!$N$54*0.4, 0), 0)+                                                                                                                                                                                                              IF('Feuille saisie commune'!$F$15="Fumière ( fumier paille frais )", IF('Feuille saisie commune'!$C$15="Post-sevrage", 'Porc (Effectif détaillé)'!$N$50, 0), 0)+IF('Feuille saisie commune'!$F$16="Fumière ( fumier paille frais )", IF('Feuille saisie commune'!$C$16="Post-sevrage", 'Porc (Effectif détaillé)'!$N$50, 0), 0)+IF('Feuille saisie commune'!$F$17="Fumière ( fumier paille frais )", IF('Feuille saisie commune'!$C$17="Post-sevrage", 'Porc (Effectif détaillé)'!$N$50, 0), 0)+IF('Feuille saisie commune'!$F$47="Fumière ( fumier paille frais )", IF('Feuille saisie commune'!$B$48="Post-sevrage", 'Porc (Effectif détaillé)'!$N$50, 0), 0)</f>
        <v>0</v>
      </c>
      <c r="G143" s="170">
        <f t="shared" si="5"/>
        <v>0</v>
      </c>
      <c r="H143" s="158"/>
      <c r="I143" s="12"/>
    </row>
    <row r="144" spans="2:9" x14ac:dyDescent="0.25">
      <c r="B144" s="147" t="s">
        <v>603</v>
      </c>
      <c r="C144" s="148"/>
      <c r="D144" s="148"/>
      <c r="E144" s="160"/>
      <c r="F144" s="148"/>
      <c r="G144" s="149"/>
      <c r="H144" s="150"/>
      <c r="I144" s="12"/>
    </row>
    <row r="145" spans="1:9" x14ac:dyDescent="0.25">
      <c r="B145" s="148" t="s">
        <v>666</v>
      </c>
      <c r="C145" s="110" t="s">
        <v>50</v>
      </c>
      <c r="D145" s="110" t="s">
        <v>50</v>
      </c>
      <c r="E145" s="151">
        <f>IF('Feuille saisie commune'!$F$15="Fumière ( fumier paille frais )", 'Feuille saisie commune'!$G$15,0)+IF('Feuille saisie commune'!$F$16="Fumière ( fumier paille frais )",'Feuille saisie commune'!$G$16,0)+IF('Feuille saisie commune'!$F$17="Fumière ( fumier paille frais )",'Feuille saisie commune'!$G$17,0)+IF('Feuille saisie commune'!$F$47="Fumière ( fumier paille frais )",'Feuille saisie commune'!$G$44,0)</f>
        <v>0</v>
      </c>
      <c r="F145" s="110" t="s">
        <v>50</v>
      </c>
      <c r="G145" s="152">
        <f>+E145</f>
        <v>0</v>
      </c>
      <c r="H145" s="150"/>
      <c r="I145" s="12"/>
    </row>
    <row r="146" spans="1:9" x14ac:dyDescent="0.25">
      <c r="B146" s="148" t="s">
        <v>590</v>
      </c>
      <c r="C146" s="110" t="s">
        <v>50</v>
      </c>
      <c r="D146" s="110" t="s">
        <v>50</v>
      </c>
      <c r="E146" s="151">
        <f>E145*$D$4*10</f>
        <v>0</v>
      </c>
      <c r="F146" s="110" t="s">
        <v>50</v>
      </c>
      <c r="G146" s="152">
        <f>+E146</f>
        <v>0</v>
      </c>
      <c r="H146" s="153" t="s">
        <v>591</v>
      </c>
      <c r="I146" s="12"/>
    </row>
    <row r="147" spans="1:9" x14ac:dyDescent="0.25">
      <c r="B147" s="148" t="s">
        <v>592</v>
      </c>
      <c r="C147" s="110" t="s">
        <v>50</v>
      </c>
      <c r="D147" s="110" t="s">
        <v>50</v>
      </c>
      <c r="E147" s="151">
        <f>E145*$E$4*10</f>
        <v>0</v>
      </c>
      <c r="F147" s="110" t="s">
        <v>50</v>
      </c>
      <c r="G147" s="152">
        <f>+E147</f>
        <v>0</v>
      </c>
      <c r="H147" s="153" t="s">
        <v>593</v>
      </c>
      <c r="I147" s="12"/>
    </row>
    <row r="148" spans="1:9" x14ac:dyDescent="0.25">
      <c r="B148" s="155" t="s">
        <v>594</v>
      </c>
      <c r="C148" s="168" t="s">
        <v>50</v>
      </c>
      <c r="D148" s="168" t="s">
        <v>50</v>
      </c>
      <c r="E148" s="169">
        <f>E145*$F$4*10</f>
        <v>0</v>
      </c>
      <c r="F148" s="168" t="s">
        <v>50</v>
      </c>
      <c r="G148" s="170">
        <f>+E148</f>
        <v>0</v>
      </c>
      <c r="H148" s="158" t="s">
        <v>595</v>
      </c>
      <c r="I148" s="12"/>
    </row>
    <row r="149" spans="1:9" x14ac:dyDescent="0.25">
      <c r="C149" s="12"/>
      <c r="D149" s="12"/>
      <c r="E149" s="12"/>
      <c r="F149" s="12"/>
      <c r="G149" s="12"/>
      <c r="H149" s="12"/>
      <c r="I149" s="12"/>
    </row>
    <row r="150" spans="1:9" x14ac:dyDescent="0.25">
      <c r="B150" s="213"/>
    </row>
    <row r="151" spans="1:9" x14ac:dyDescent="0.25">
      <c r="B151" s="213"/>
    </row>
    <row r="152" spans="1:9" x14ac:dyDescent="0.25">
      <c r="A152" s="186" t="s">
        <v>660</v>
      </c>
    </row>
    <row r="153" spans="1:9" x14ac:dyDescent="0.25">
      <c r="B153" s="99"/>
      <c r="C153" s="111"/>
      <c r="D153" s="111"/>
      <c r="E153" s="112"/>
      <c r="F153" s="112"/>
      <c r="G153" s="1143" t="s">
        <v>564</v>
      </c>
      <c r="H153" s="1144"/>
      <c r="I153" s="12"/>
    </row>
    <row r="154" spans="1:9" x14ac:dyDescent="0.25">
      <c r="B154" s="208"/>
      <c r="C154" s="111"/>
      <c r="D154" s="111"/>
      <c r="E154" s="116"/>
      <c r="F154" s="117"/>
      <c r="G154" s="1145" t="s">
        <v>565</v>
      </c>
      <c r="H154" s="1146"/>
      <c r="I154" s="12"/>
    </row>
    <row r="155" spans="1:9" x14ac:dyDescent="0.25">
      <c r="B155" s="99"/>
      <c r="C155" s="111"/>
      <c r="D155" s="111"/>
      <c r="E155" s="118" t="s">
        <v>930</v>
      </c>
      <c r="F155" s="118"/>
      <c r="G155" s="1151">
        <f>K332</f>
        <v>68.983749119999999</v>
      </c>
      <c r="H155" s="1152"/>
      <c r="I155" s="12"/>
    </row>
    <row r="156" spans="1:9" x14ac:dyDescent="0.25">
      <c r="B156" s="99"/>
      <c r="C156" s="111"/>
      <c r="D156" s="111"/>
      <c r="E156" s="114"/>
      <c r="F156" s="114"/>
      <c r="G156" s="184"/>
      <c r="H156" s="184"/>
      <c r="I156" s="185"/>
    </row>
    <row r="157" spans="1:9" x14ac:dyDescent="0.25">
      <c r="B157" s="100"/>
      <c r="C157" s="111"/>
      <c r="D157" s="111"/>
      <c r="E157" s="111"/>
      <c r="F157" s="111"/>
      <c r="G157" s="111"/>
      <c r="H157" s="111"/>
      <c r="I157" s="112"/>
    </row>
    <row r="158" spans="1:9" x14ac:dyDescent="0.25">
      <c r="B158" s="100"/>
      <c r="C158" s="111"/>
      <c r="D158" s="111"/>
      <c r="E158" s="111"/>
      <c r="F158" s="111"/>
      <c r="G158" s="111"/>
      <c r="H158" s="111"/>
      <c r="I158" s="112"/>
    </row>
    <row r="159" spans="1:9" x14ac:dyDescent="0.25">
      <c r="B159" s="101" t="s">
        <v>566</v>
      </c>
      <c r="C159" s="119" t="s">
        <v>567</v>
      </c>
      <c r="D159" s="1149" t="s">
        <v>568</v>
      </c>
      <c r="E159" s="1150"/>
      <c r="F159" s="1149" t="s">
        <v>569</v>
      </c>
      <c r="G159" s="1150"/>
      <c r="H159" s="119" t="s">
        <v>570</v>
      </c>
      <c r="I159" s="120" t="s">
        <v>571</v>
      </c>
    </row>
    <row r="160" spans="1:9" x14ac:dyDescent="0.25">
      <c r="B160" s="121"/>
      <c r="C160" s="122" t="s">
        <v>17</v>
      </c>
      <c r="D160" s="211" t="s">
        <v>560</v>
      </c>
      <c r="E160" s="212" t="s">
        <v>572</v>
      </c>
      <c r="F160" s="211" t="s">
        <v>561</v>
      </c>
      <c r="G160" s="212" t="s">
        <v>573</v>
      </c>
      <c r="H160" s="122" t="s">
        <v>17</v>
      </c>
      <c r="I160" s="212" t="s">
        <v>17</v>
      </c>
    </row>
    <row r="161" spans="2:9" x14ac:dyDescent="0.25">
      <c r="B161" s="125" t="s">
        <v>574</v>
      </c>
      <c r="C161" s="126">
        <f>G173</f>
        <v>5010.7071999999998</v>
      </c>
      <c r="D161" s="127">
        <f>G174</f>
        <v>1017.0652</v>
      </c>
      <c r="E161" s="128" t="s">
        <v>50</v>
      </c>
      <c r="F161" s="126">
        <f>G175</f>
        <v>0</v>
      </c>
      <c r="G161" s="129" t="s">
        <v>50</v>
      </c>
      <c r="H161" s="130" t="str">
        <f>IF(G176&gt;0,G176,"-")</f>
        <v>-</v>
      </c>
      <c r="I161" s="131" t="str">
        <f>IF(G177&gt;0,G177,"-")</f>
        <v>-</v>
      </c>
    </row>
    <row r="162" spans="2:9" x14ac:dyDescent="0.25">
      <c r="B162" s="132" t="s">
        <v>575</v>
      </c>
      <c r="C162" s="133">
        <f>E187</f>
        <v>0</v>
      </c>
      <c r="D162" s="134">
        <f>E188</f>
        <v>0</v>
      </c>
      <c r="E162" s="135"/>
      <c r="F162" s="133">
        <f>E189</f>
        <v>0</v>
      </c>
      <c r="G162" s="136" t="s">
        <v>50</v>
      </c>
      <c r="H162" s="136" t="s">
        <v>50</v>
      </c>
      <c r="I162" s="136" t="s">
        <v>50</v>
      </c>
    </row>
    <row r="163" spans="2:9" x14ac:dyDescent="0.25">
      <c r="B163" s="132" t="s">
        <v>576</v>
      </c>
      <c r="C163" s="133">
        <f>D180-C180</f>
        <v>0</v>
      </c>
      <c r="D163" s="134">
        <f>D181-C181</f>
        <v>0</v>
      </c>
      <c r="E163" s="135" t="s">
        <v>50</v>
      </c>
      <c r="F163" s="133">
        <f>D182-C182</f>
        <v>0</v>
      </c>
      <c r="G163" s="136" t="s">
        <v>50</v>
      </c>
      <c r="H163" s="130" t="str">
        <f>IF(H161&lt;&gt;"-",D183-C183,H161)</f>
        <v>-</v>
      </c>
      <c r="I163" s="131" t="str">
        <f>IF(I161&lt;&gt;"-",D184-C184,I161)</f>
        <v>-</v>
      </c>
    </row>
    <row r="164" spans="2:9" x14ac:dyDescent="0.25">
      <c r="B164" s="132" t="s">
        <v>577</v>
      </c>
      <c r="C164" s="133">
        <f>F180-E180</f>
        <v>0</v>
      </c>
      <c r="D164" s="134">
        <f>F181-E181</f>
        <v>0</v>
      </c>
      <c r="E164" s="135" t="s">
        <v>50</v>
      </c>
      <c r="F164" s="133">
        <f>F182-E182</f>
        <v>0</v>
      </c>
      <c r="G164" s="136" t="s">
        <v>50</v>
      </c>
      <c r="H164" s="137" t="str">
        <f>IF(H161&lt;&gt;"-",F183-E183,H161)</f>
        <v>-</v>
      </c>
      <c r="I164" s="138" t="str">
        <f>IF(I161&lt;&gt;"-",F184-E184,I161)</f>
        <v>-</v>
      </c>
    </row>
    <row r="165" spans="2:9" x14ac:dyDescent="0.25">
      <c r="B165" s="132" t="s">
        <v>578</v>
      </c>
      <c r="C165" s="133">
        <f>C161-C163-C164</f>
        <v>5010.7071999999998</v>
      </c>
      <c r="D165" s="134">
        <f>D161-D163-D164</f>
        <v>1017.0652</v>
      </c>
      <c r="E165" s="139">
        <f>(30.97376*2+15.9994*5)/(30.97376*2)*D165</f>
        <v>2330.4699142549052</v>
      </c>
      <c r="F165" s="134">
        <f>F161-F163-F164</f>
        <v>0</v>
      </c>
      <c r="G165" s="139">
        <f>+F165*1.2</f>
        <v>0</v>
      </c>
      <c r="H165" s="130" t="str">
        <f>IF(H161&lt;&gt;"-",H161-H163-H164,H161)</f>
        <v>-</v>
      </c>
      <c r="I165" s="140" t="str">
        <f>IF(I161&lt;&gt;"-",I161-I163-I164,I161)</f>
        <v>-</v>
      </c>
    </row>
    <row r="166" spans="2:9" x14ac:dyDescent="0.25">
      <c r="B166" s="141" t="s">
        <v>579</v>
      </c>
      <c r="C166" s="142">
        <f>C165*G155/100</f>
        <v>3456.5736839857768</v>
      </c>
      <c r="D166" s="134" t="s">
        <v>580</v>
      </c>
      <c r="E166" s="143" t="s">
        <v>580</v>
      </c>
      <c r="F166" s="134" t="s">
        <v>580</v>
      </c>
      <c r="G166" s="143" t="s">
        <v>580</v>
      </c>
      <c r="H166" s="130" t="s">
        <v>580</v>
      </c>
      <c r="I166" s="130" t="s">
        <v>580</v>
      </c>
    </row>
    <row r="167" spans="2:9" x14ac:dyDescent="0.25">
      <c r="B167" s="144" t="s">
        <v>581</v>
      </c>
      <c r="C167" s="187">
        <f>IF('Porc (Aliments)'!$E$2="Méthode du BRS",C165+C162-C166,0)+ IF('Porc (Aliments)'!$E$2="Alimentation standard",'Porc (Effectif détaillé)'!R65,0)+IF('Porc (Aliments)'!$E$2="Alimentation biphase",'Porc (Effectif détaillé)'!R72,0)</f>
        <v>921.49570207744</v>
      </c>
      <c r="D167" s="145">
        <f>D161+D162-D163-D164</f>
        <v>1017.0652</v>
      </c>
      <c r="E167" s="188">
        <f>IF('Porc (Aliments)'!$E$2="Méthode du BRS",(30.97376*2+15.9994*5)/(30.97376*2)*D167,0)+IF('Porc (Aliments)'!$E$2="Alimentation standard",'Porc (Effectif détaillé)'!S65,0)+IF('Porc (Aliments)'!$E$2="Alimentation biphase",'Porc (Effectif détaillé)'!S72,0)</f>
        <v>1164.8</v>
      </c>
      <c r="F167" s="145">
        <f>F161+F162-F163-F164</f>
        <v>0</v>
      </c>
      <c r="G167" s="189">
        <f>IF('Porc (Aliments)'!$E$2="Méthode du BRS",F167*1.2,0)+IF('Porc (Aliments)'!$E$2="Alimentation standard",'Porc (Effectif détaillé)'!T65,0)+IF('Porc (Aliments)'!$E$2="Alimentation biphase",'Porc (Effectif détaillé)'!T72,0)</f>
        <v>2150.4</v>
      </c>
      <c r="H167" s="190">
        <f>IF('Porc (Aliments)'!$E$2="Méthode du BRS",H165,(IF(Param_porcs!$G$16=41,('Porc (Effectif détaillé)'!$D$41+'Porc (Effectif détaillé)'!$C$41+'Porc (Effectif détaillé)'!$C$42+'Porc (Effectif détaillé)'!$D$42)/2*18.24,0)+IF(Param_porcs!$G$16=42,('Porc (Effectif détaillé)'!$D$44-'Porc (Effectif détaillé)'!$C$44+'Porc (Effectif détaillé)'!$C$51+'Porc (Effectif détaillé)'!$C$52)*4.17,0)+IF(Param_porcs!$G$16=43,('Porc (Effectif détaillé)'!$D$43-'Porc (Effectif détaillé)'!$C$43+'Porc (Effectif détaillé)'!$C$50+'Porc (Effectif détaillé)'!$C$51+'Porc (Effectif détaillé)'!$C$52)*6.04,0)+IF(Param_porcs!$G$17=41,('Porc (Effectif détaillé)'!$D$41+'Porc (Effectif détaillé)'!$C$41+'Porc (Effectif détaillé)'!$C$42+'Porc (Effectif détaillé)'!$D$42)/2*18.24,0)+IF(Param_porcs!$G$17=42,('Porc (Effectif détaillé)'!$D$44-'Porc (Effectif détaillé)'!$C$44+'Porc (Effectif détaillé)'!$C$51+'Porc (Effectif détaillé)'!$C$52)*4.17,0)+IF(Param_porcs!$G$17=43,('Porc (Effectif détaillé)'!$D$43-'Porc (Effectif détaillé)'!$C$43+'Porc (Effectif détaillé)'!$C$50+'Porc (Effectif détaillé)'!$C$51+'Porc (Effectif détaillé)'!$C$52)*6.04,0)+IF(Param_porcs!$G$18=41,('Porc (Effectif détaillé)'!$D$41+'Porc (Effectif détaillé)'!$C$41+'Porc (Effectif détaillé)'!$C$42+'Porc (Effectif détaillé)'!$D$42)/2*18.24,0)+IF(Param_porcs!$G$18=42,('Porc (Effectif détaillé)'!$D$44-'Porc (Effectif détaillé)'!$C$44+'Porc (Effectif détaillé)'!$C$51+'Porc (Effectif détaillé)'!$C$52)*4.17,0)+IF(Param_porcs!$G$18=43,('Porc (Effectif détaillé)'!$D$43-'Porc (Effectif détaillé)'!$C$43+'Porc (Effectif détaillé)'!$C$50+'Porc (Effectif détaillé)'!$C$51+'Porc (Effectif détaillé)'!$C$52)*6.04,0)+IF(Param_porcs!$G$19=41,('Porc (Effectif détaillé)'!$D$41+'Porc (Effectif détaillé)'!$C$41+'Porc (Effectif détaillé)'!$C$42+'Porc (Effectif détaillé)'!$D$42)/2*18.24,0)+IF(Param_porcs!$G$19=42,('Porc (Effectif détaillé)'!$D$44-'Porc (Effectif détaillé)'!$C$44+'Porc (Effectif détaillé)'!$C$51+'Porc (Effectif détaillé)'!$C$52)*4.17,0)+IF(Param_porcs!$G$19=43,('Porc (Effectif détaillé)'!$D$43-'Porc (Effectif détaillé)'!$C$43+'Porc (Effectif détaillé)'!$C$50+'Porc (Effectif détaillé)'!$C$51+'Porc (Effectif détaillé)'!$C$52)*6.04,0))/1000)</f>
        <v>54.118400000000001</v>
      </c>
      <c r="I167" s="191">
        <f>IF('Porc (Aliments)'!$E$2="Méthode du BRS",I165,(IF(Param_porcs!$G$16=41,('Porc (Effectif détaillé)'!$D$41+'Porc (Effectif détaillé)'!$C$41+'Porc (Effectif détaillé)'!$C$42+'Porc (Effectif détaillé)'!$D$42)/2*138,0)+IF(Param_porcs!$G$16=42,('Porc (Effectif détaillé)'!$D$44-'Porc (Effectif détaillé)'!$C$44+'Porc (Effectif détaillé)'!$C$51+'Porc (Effectif détaillé)'!$C$52)*22.42,0)+IF(Param_porcs!$G$16=43,('Porc (Effectif détaillé)'!$D$43-'Porc (Effectif détaillé)'!$C$43+'Porc (Effectif détaillé)'!$C$50+'Porc (Effectif détaillé)'!$C$51+'Porc (Effectif détaillé)'!$C$52)*4.92,0)+IF(Param_porcs!$G$17=41,('Porc (Effectif détaillé)'!$D$41+'Porc (Effectif détaillé)'!$C$41+'Porc (Effectif détaillé)'!$C$42+'Porc (Effectif détaillé)'!$D$42)/2*138,0)+IF(Param_porcs!$G$17=42,('Porc (Effectif détaillé)'!$D$44-'Porc (Effectif détaillé)'!$C$44+'Porc (Effectif détaillé)'!$C$51+'Porc (Effectif détaillé)'!$C$52)*22.42,0)+IF(Param_porcs!$G$17=43,('Porc (Effectif détaillé)'!$D$43-'Porc (Effectif détaillé)'!$C$43+'Porc (Effectif détaillé)'!$C$50+'Porc (Effectif détaillé)'!$C$51+'Porc (Effectif détaillé)'!$C$52)*4.92,0)+IF(Param_porcs!$G$18=41,('Porc (Effectif détaillé)'!$D$41+'Porc (Effectif détaillé)'!$C$41+'Porc (Effectif détaillé)'!$C$42+'Porc (Effectif détaillé)'!$D$42)/2*138,0)+IF(Param_porcs!$G$18=42,('Porc (Effectif détaillé)'!$D$44-'Porc (Effectif détaillé)'!$C$44+'Porc (Effectif détaillé)'!$C$51+'Porc (Effectif détaillé)'!$C$52)*22.42,0)+IF(Param_porcs!$G$18=43,('Porc (Effectif détaillé)'!$D$43-'Porc (Effectif détaillé)'!$C$43+'Porc (Effectif détaillé)'!$C$50+'Porc (Effectif détaillé)'!$C$51+'Porc (Effectif détaillé)'!$C$52)*4.92,0)+IF(Param_porcs!$G$19=41,('Porc (Effectif détaillé)'!$D$41+'Porc (Effectif détaillé)'!$C$41+'Porc (Effectif détaillé)'!$C$42+'Porc (Effectif détaillé)'!$D$42)/2*138,0)+IF(Param_porcs!$G$19=42,('Porc (Effectif détaillé)'!$D$44-'Porc (Effectif détaillé)'!$C$44+'Porc (Effectif détaillé)'!$C$51+'Porc (Effectif détaillé)'!$C$52)*22.42,0)+IF(Param_porcs!$G$19=43,('Porc (Effectif détaillé)'!$D$43-'Porc (Effectif détaillé)'!$C$43+'Porc (Effectif détaillé)'!$C$50+'Porc (Effectif détaillé)'!$C$51+'Porc (Effectif détaillé)'!$C$52)*4.92,0))/1000)</f>
        <v>44.083199999999998</v>
      </c>
    </row>
    <row r="168" spans="2:9" x14ac:dyDescent="0.25">
      <c r="B168" s="99"/>
      <c r="C168" s="111"/>
      <c r="D168" s="111"/>
      <c r="E168" s="111"/>
      <c r="F168" s="111"/>
      <c r="G168" s="111"/>
      <c r="H168" s="111"/>
      <c r="I168" s="112"/>
    </row>
    <row r="169" spans="2:9" x14ac:dyDescent="0.25">
      <c r="B169" s="115" t="s">
        <v>582</v>
      </c>
      <c r="C169" s="111"/>
      <c r="D169" s="111"/>
      <c r="E169" s="111"/>
      <c r="F169" s="111"/>
      <c r="G169" s="111"/>
      <c r="H169" s="111"/>
      <c r="I169" s="112"/>
    </row>
    <row r="170" spans="2:9" x14ac:dyDescent="0.25">
      <c r="B170" s="146"/>
      <c r="C170" s="113" t="s">
        <v>583</v>
      </c>
      <c r="D170" s="113" t="s">
        <v>584</v>
      </c>
      <c r="E170" s="113" t="s">
        <v>585</v>
      </c>
      <c r="F170" s="113" t="s">
        <v>586</v>
      </c>
      <c r="G170" s="1141" t="s">
        <v>587</v>
      </c>
      <c r="H170" s="1142"/>
      <c r="I170" s="112"/>
    </row>
    <row r="171" spans="2:9" x14ac:dyDescent="0.25">
      <c r="B171" s="147" t="s">
        <v>588</v>
      </c>
      <c r="C171" s="148"/>
      <c r="D171" s="148"/>
      <c r="E171" s="148"/>
      <c r="F171" s="148"/>
      <c r="G171" s="149"/>
      <c r="H171" s="150"/>
      <c r="I171" s="112"/>
    </row>
    <row r="172" spans="2:9" x14ac:dyDescent="0.25">
      <c r="B172" s="148" t="s">
        <v>589</v>
      </c>
      <c r="C172" s="151"/>
      <c r="D172" s="151"/>
      <c r="E172" s="151">
        <f>IF('Porc (Aliments)'!$A$10="Fumière (fumier paille compostée)", 'Porc (Aliments)'!$D$15,0) + IF('Porc (Aliments)'!$A$20="Fumière (fumier paille compostée)",'Porc (Aliments)'!$D$25,0) + IF('Porc (Aliments)'!$A$30="Fumière (fumier paille compostée)",'Porc (Aliments)'!$D$35,0)</f>
        <v>171494</v>
      </c>
      <c r="F172" s="110" t="s">
        <v>50</v>
      </c>
      <c r="G172" s="152">
        <f>E172+C172-D172</f>
        <v>171494</v>
      </c>
      <c r="H172" s="150"/>
      <c r="I172" s="112"/>
    </row>
    <row r="173" spans="2:9" x14ac:dyDescent="0.25">
      <c r="B173" s="148" t="s">
        <v>590</v>
      </c>
      <c r="C173" s="151"/>
      <c r="D173" s="151"/>
      <c r="E173" s="151">
        <f>IF('Porc (Aliments)'!$A$10="Fumière (fumier paille compostée)", 'Porc (Aliments)'!$J$15,0) + IF('Porc (Aliments)'!$A$20="Fumière (fumier paille compostée)", 'Porc (Aliments)'!$J$25,0) + IF('Porc (Aliments)'!$A$30="Fumière (fumier paille compostée)", 'Porc (Aliments)'!$J$35, 0)</f>
        <v>5010.7071999999998</v>
      </c>
      <c r="F173" s="110" t="s">
        <v>50</v>
      </c>
      <c r="G173" s="152">
        <f t="shared" ref="G173:G177" si="6">E173+C173-D173</f>
        <v>5010.7071999999998</v>
      </c>
      <c r="H173" s="153" t="s">
        <v>591</v>
      </c>
      <c r="I173" s="112"/>
    </row>
    <row r="174" spans="2:9" x14ac:dyDescent="0.25">
      <c r="B174" s="148" t="s">
        <v>592</v>
      </c>
      <c r="C174" s="151"/>
      <c r="D174" s="151"/>
      <c r="E174" s="151">
        <f>IF('Porc (Aliments)'!$A$10="Fumière (fumier paille compostée)",'Porc (Aliments)'!$K$15,0) + IF('Porc (Aliments)'!$A$20="Fumière (fumier paille compostée)",'Porc (Aliments)'!$K$25,0) + IF('Porc (Aliments)'!$A$30="Fumière (fumier paille compostée)", 'Porc (Aliments)'!$K$35,0)</f>
        <v>1017.0652</v>
      </c>
      <c r="F174" s="110" t="s">
        <v>50</v>
      </c>
      <c r="G174" s="152">
        <f t="shared" si="6"/>
        <v>1017.0652</v>
      </c>
      <c r="H174" s="153" t="s">
        <v>593</v>
      </c>
      <c r="I174" s="112"/>
    </row>
    <row r="175" spans="2:9" x14ac:dyDescent="0.25">
      <c r="B175" s="148" t="s">
        <v>594</v>
      </c>
      <c r="C175" s="151"/>
      <c r="D175" s="151"/>
      <c r="E175" s="151">
        <f>IF('Porc (Aliments)'!$A$10="Fumière (fumier paille compostée)", 'Porc (Aliments)'!$L$15,0) + IF('Porc (Aliments)'!$A$20="Fumière (fumier paille compostée)", 'Porc (Aliments)'!$L$25,0) + IF('Porc (Aliments)'!$A$30="Fumière (fumier paille compostée)",'Porc (Aliments)'!$L$35,0)</f>
        <v>0</v>
      </c>
      <c r="F175" s="110" t="s">
        <v>50</v>
      </c>
      <c r="G175" s="152">
        <f t="shared" si="6"/>
        <v>0</v>
      </c>
      <c r="H175" s="153" t="s">
        <v>595</v>
      </c>
      <c r="I175" s="112"/>
    </row>
    <row r="176" spans="2:9" x14ac:dyDescent="0.25">
      <c r="B176" s="148" t="s">
        <v>596</v>
      </c>
      <c r="C176" s="151"/>
      <c r="D176" s="151"/>
      <c r="E176" s="151">
        <f>(IF('Porc (Aliments)'!$A$10="Fumière (fumier paille compostée)",'Porc (Aliments)'!$M$15,0) + IF('Porc (Aliments)'!$A$20="Fumière (fumier paille compostée)", 'Porc (Aliments)'!$M$25,0) + IF('Porc (Aliments)'!$A$30="Fumière (fumier paille compostée)",'Porc (Aliments)'!$M$35,0))/1000</f>
        <v>0</v>
      </c>
      <c r="F176" s="137"/>
      <c r="G176" s="152">
        <f t="shared" si="6"/>
        <v>0</v>
      </c>
      <c r="H176" s="153"/>
      <c r="I176" s="112"/>
    </row>
    <row r="177" spans="2:9" x14ac:dyDescent="0.25">
      <c r="B177" s="155" t="s">
        <v>597</v>
      </c>
      <c r="C177" s="169"/>
      <c r="D177" s="169"/>
      <c r="E177" s="169">
        <f>(IF('Porc (Aliments)'!$A$10="Fumière (fumier paille compostée)",'Porc (Aliments)'!$N$15,0) + IF('Porc (Aliments)'!$A$20="Fumière (fumier paille compostée)",'Porc (Aliments)'!$N$25,0) + IF('Porc (Aliments)'!$A$30="Fumière (fumier paille compostée)",'Porc (Aliments)'!$N$35,0))/1000</f>
        <v>0</v>
      </c>
      <c r="F177" s="157"/>
      <c r="G177" s="152">
        <f t="shared" si="6"/>
        <v>0</v>
      </c>
      <c r="H177" s="158"/>
      <c r="I177" s="112"/>
    </row>
    <row r="178" spans="2:9" x14ac:dyDescent="0.25">
      <c r="B178" s="147" t="s">
        <v>598</v>
      </c>
      <c r="C178" s="159"/>
      <c r="D178" s="159"/>
      <c r="E178" s="159"/>
      <c r="F178" s="160"/>
      <c r="G178" s="161"/>
      <c r="H178" s="162"/>
      <c r="I178" s="112"/>
    </row>
    <row r="179" spans="2:9" x14ac:dyDescent="0.25">
      <c r="B179" s="148" t="s">
        <v>589</v>
      </c>
      <c r="C179" s="151">
        <f>IF('Feuille saisie commune'!$F$15="Fumière (fumier paille compostée)", IF('Feuille saisie commune'!$C$15="Porcs charcutiers", 'Porc (Effectif détaillé)'!$T$44, 0), 0)+IF('Feuille saisie commune'!$F$16="Fumière (fumier paille compostée)", IF('Feuille saisie commune'!$C$16="Porcs charcutiers", 'Porc (Effectif détaillé)'!$T$44, 0), 0)+IF('Feuille saisie commune'!$F$17="Fumière (fumier paille compostée)", IF('Feuille saisie commune'!$C$17="Porcs charcutiers", 'Porc (Effectif détaillé)'!$T$44, 0), 0)+IF('Feuille saisie commune'!$F$47="Fumière (fumier paille compostée)", IF('Feuille saisie commune'!$B$48="Porcs charcutiers", 'Porc (Effectif détaillé)'!$T$44, 0), 0)+                                                                                                                                                                                      IF('Feuille saisie commune'!$F$15="Fumière (fumier paille compostée)", IF('Feuille saisie commune'!$C$15="Truies et verrats", 'Porc (Effectif détaillé)'!$T$41+'Porc (Effectif détaillé)'!$T$42, 0), 0)+IF('Feuille saisie commune'!$F$16="Fumière (fumier paille compostée)", IF('Feuille saisie commune'!$C$16="Truies et verrats", 'Porc (Effectif détaillé)'!$T$41+'Porc (Effectif détaillé)'!$T$42, 0), 0)+IF('Feuille saisie commune'!$F$17="Fumière (fumier paille compostée)", IF('Feuille saisie commune'!$C$17="Truies et verrats", 'Porc (Effectif détaillé)'!$T$41+'Porc (Effectif détaillé)'!$T$42, 0), 0)+IF('Feuille saisie commune'!$F$47="Fumière (fumier paille compostée)", IF('Feuille saisie commune'!$B$48="Truies et verrats", 'Porc (Effectif détaillé)'!$T$41+'Porc (Effectif détaillé)'!$T$42, 0), 0)+                                                                                                       IF('Feuille saisie commune'!$F$15="Fumière (fumier paille compostée)", IF('Feuille saisie commune'!$C$15="Post-sevrage", 'Porc (Effectif détaillé)'!$T$43, 0), 0)+IF('Feuille saisie commune'!$F$16="Fumière (fumier paille compostée)", IF('Feuille saisie commune'!$C$16="Post-sevrage", 'Porc (Effectif détaillé)'!$T$43, 0), 0)+IF('Feuille saisie commune'!$F$17="Fumière (fumier paille compostée)", IF('Feuille saisie commune'!$C$17="Post-sevrage", 'Porc (Effectif détaillé)'!$T$43, 0), 0)+IF('Feuille saisie commune'!$F$47="Fumière (fumier paille compostée)", IF('Feuille saisie commune'!$B$48="Post-sevrage", 'Porc (Effectif détaillé)'!$T$43, 0), 0)</f>
        <v>0</v>
      </c>
      <c r="D179" s="151">
        <f>IF('Feuille saisie commune'!$F$15="Fumière (fumier paille compostée)", IF('Feuille saisie commune'!$C$15="Porcs charcutiers", 'Porc (Effectif détaillé)'!$U$44, 0), 0)+IF('Feuille saisie commune'!$F$16="Fumière (fumier paille compostée)", IF('Feuille saisie commune'!$C$16="Porcs charcutiers", 'Porc (Effectif détaillé)'!$U$44, 0), 0)+IF('Feuille saisie commune'!$F$17="Fumière (fumier paille compostée)", IF('Feuille saisie commune'!$C$17="Porcs charcutiers", 'Porc (Effectif détaillé)'!$U$44, 0), 0)+IF('Feuille saisie commune'!$F$47="Fumière (fumier paille compostée)", IF('Feuille saisie commune'!$B$48="Porcs charcutiers", 'Porc (Effectif détaillé)'!$U$44, 0), 0)+                                                                                                                                                                                            IF('Feuille saisie commune'!$F$15="Fumière (fumier paille compostée)", IF('Feuille saisie commune'!$C$15="Truies et verrats", 'Porc (Effectif détaillé)'!$U$41+'Porc (Effectif détaillé)'!$U$42, 0), 0)+IF('Feuille saisie commune'!$F$16="Fumière (fumier paille compostée)", IF('Feuille saisie commune'!$C$16="Truies et verrats", 'Porc (Effectif détaillé)'!$U$41+'Porc (Effectif détaillé)'!$U$42, 0), 0)+IF('Feuille saisie commune'!$F$17="Fumière (fumier paille compostée)", IF('Feuille saisie commune'!$C$17="Truies et verrats", 'Porc (Effectif détaillé)'!$U$41+'Porc (Effectif détaillé)'!$U$42, 0), 0)+IF('Feuille saisie commune'!$F$47="Fumière (fumier paille compostée)", IF('Feuille saisie commune'!$B$48="Truies et verrats", 'Porc (Effectif détaillé)'!$U$41+'Porc (Effectif détaillé)'!$U$42, 0), 0)+                                                                                                           IF('Feuille saisie commune'!$F$15="Fumière (fumier paille compostée)", IF('Feuille saisie commune'!$C$15="Post-sevrage", 'Porc (Effectif détaillé)'!$U$43, 0), 0)+IF('Feuille saisie commune'!$F$16="Fumière (fumier paille compostée)", IF('Feuille saisie commune'!$C$16="Post-sevrage", 'Porc (Effectif détaillé)'!$U$43, 0), 0)+IF('Feuille saisie commune'!$F$17="Fumière (fumier paille compostée)", IF('Feuille saisie commune'!$C$17="Post-sevrage", 'Porc (Effectif détaillé)'!$U$43, 0), 0)+IF('Feuille saisie commune'!$F$47="Fumière (fumier paille compostée)", IF('Feuille saisie commune'!$B$48="Post-sevrage", 'Porc (Effectif détaillé)'!$U$43, 0), 0)</f>
        <v>0</v>
      </c>
      <c r="E179" s="163">
        <f>IF('Feuille saisie commune'!$F$15="Fumière (fumier paille compostée)", IF('Feuille saisie commune'!$C$15="Porcs charcutiers", 'Porc (Effectif détaillé)'!$O$50, 0), 0)+IF('Feuille saisie commune'!$F$16="Fumière (fumier paille compostée)", IF('Feuille saisie commune'!$C$16="Porcs charcutiers", 'Porc (Effectif détaillé)'!$O$50, 0), 0)+IF('Feuille saisie commune'!$F$17="Fumière (fumier paille compostée)", IF('Feuille saisie commune'!$C$17="Porcs charcutiers", 'Porc (Effectif détaillé)'!$O$50, 0), 0)+IF('Feuille saisie commune'!$F$47="Fumière (fumier paille compostée)", IF('Feuille saisie commune'!$B$48="Porcs charcutiers", 'Porc (Effectif détaillé)'!$O$50, 0), 0)+                                                                                                                                                                                            IF('Feuille saisie commune'!$F$15="Fumière (fumier paille compostée)", IF('Feuille saisie commune'!$C$15="Truies et verrats", 'Porc (Effectif détaillé)'!$O$51, 0), 0)+IF('Feuille saisie commune'!$F$16="Fumière (fumier paille compostée)", IF('Feuille saisie commune'!$C$16="Truies et verrats", 'Porc (Effectif détaillé)'!$O$51, 0), 0)+IF('Feuille saisie commune'!$F$17="Fumière (fumier paille compostée)", IF('Feuille saisie commune'!$C$17="Truies et verrats", 'Porc (Effectif détaillé)'!$O$51, 0), 0)+IF('Feuille saisie commune'!$F$47="Fumière (fumier paille compostée)", IF('Feuille saisie commune'!$B$48="Truies et verrats", 'Porc (Effectif détaillé)'!$O$51, 0), 0)+                                                                                                                                                                                                                                               IF('Feuille saisie commune'!$F$15="Fumière (fumier paille compostée)", IF('Feuille saisie commune'!$C$15="Post-sevrage", 'Porc (Effectif détaillé)'!$O$49, 0), 0)+IF('Feuille saisie commune'!$F$16="Fumière (fumier paille compostée)", IF('Feuille saisie commune'!$C$16="Post-sevrage", 'Porc (Effectif détaillé)'!$O$49, 0), 0)+IF('Feuille saisie commune'!$F$17="Fumière (fumier paille compostée)", IF('Feuille saisie commune'!$C$17="Post-sevrage", 'Porc (Effectif détaillé)'!$O$49, 0), 0)+IF('Feuille saisie commune'!$F$47="Fumière (fumier paille compostée)", IF('Feuille saisie commune'!$B$48="Post-sevrage", 'Porc (Effectif détaillé)'!$O$49, 0), 0)</f>
        <v>0</v>
      </c>
      <c r="F179" s="164">
        <f>IF('Feuille saisie commune'!$F$15="Fumière (fumier paille compostée)", IF('Feuille saisie commune'!$C$15="Porcs charcutiers", 'Porc (Effectif détaillé)'!$I$51+'Porc (Effectif détaillé)'!$I$52+'Porc (Effectif détaillé)'!$I$54*0.6, 0), 0)+IF('Feuille saisie commune'!$F$16="Fumière (fumier paille compostée)", IF('Feuille saisie commune'!$C$16="Porcs charcutiers", 'Porc (Effectif détaillé)'!$I$51+'Porc (Effectif détaillé)'!$I$52+'Porc (Effectif détaillé)'!$I$54*0.6, 0), 0)+IF('Feuille saisie commune'!$F$17="Fumière (fumier paille compostée)", IF('Feuille saisie commune'!$C$17="Porcs charcutiers", 'Porc (Effectif détaillé)'!$I$51+'Porc (Effectif détaillé)'!$I$52+'Porc (Effectif détaillé)'!$I$54*0.6, 0), 0)+IF('Feuille saisie commune'!$F$47="Fumière (fumier paille compostée)", IF('Feuille saisie commune'!$B$48="Porcs charcutiers", 'Porc (Effectif détaillé)'!$I$51+'Porc (Effectif détaillé)'!$I$52+'Porc (Effectif détaillé)'!$I$54*0.6, 0), 0)+                                                                                                                                   IF('Feuille saisie commune'!$F$15="Fumière (fumier paille compostée)", IF('Feuille saisie commune'!$C$15="Truies et verrats", 'Porc (Effectif détaillé)'!$I$49+'Porc (Effectif détaillé)'!$I$53+'Porc (Effectif détaillé)'!$I$54*0.4, 0), 0)+IF('Feuille saisie commune'!$F$16="Fumière (fumier paille compostée)", IF('Feuille saisie commune'!$C$16="Truies et verrats", 'Porc (Effectif détaillé)'!$I$49+'Porc (Effectif détaillé)'!$I$53+'Porc (Effectif détaillé)'!$I$54*0.4, 0), 0)+IF('Feuille saisie commune'!$F$17="Fumière (fumier paille compostée)", IF('Feuille saisie commune'!$C$17="Truies et verrats", 'Porc (Effectif détaillé)'!$I$49+'Porc (Effectif détaillé)'!$I$53+'Porc (Effectif détaillé)'!$I$54*0.4, 0), 0)+IF('Feuille saisie commune'!$F$47="Fumière (fumier paille compostée)", IF('Feuille saisie commune'!$B$48="Truies et verrats", 'Porc (Effectif détaillé)'!I$49+'Porc (Effectif détaillé)'!I$53+'Porc (Effectif détaillé)'!I$54*0.4, 0), 0)+                                                                                                                                                                                                              IF('Feuille saisie commune'!$F$15="Fumière (fumier paille compostée)", IF('Feuille saisie commune'!$C$15="Post-sevrage", 'Porc (Effectif détaillé)'!$I$50, 0), 0)+IF('Feuille saisie commune'!$F$16="Fumière (fumier paille compostée)", IF('Feuille saisie commune'!$C$16="Post-sevrage", 'Porc (Effectif détaillé)'!$I$50, 0), 0)+IF('Feuille saisie commune'!$F$17="Fumière (fumier paille compostée)", IF('Feuille saisie commune'!$C$17="Post-sevrage", 'Porc (Effectif détaillé)'!$I$50, 0), 0)+IF('Feuille saisie commune'!$F$47="Fumière (fumier paille compostée)", IF('Feuille saisie commune'!$B$48="Post-sevrage", 'Porc (Effectif détaillé)'!$I$50, 0), 0)</f>
        <v>0</v>
      </c>
      <c r="G179" s="152">
        <f>F179+D179-C179-E179</f>
        <v>0</v>
      </c>
      <c r="H179" s="153"/>
      <c r="I179" s="112"/>
    </row>
    <row r="180" spans="2:9" x14ac:dyDescent="0.25">
      <c r="B180" s="148" t="s">
        <v>590</v>
      </c>
      <c r="C180" s="151">
        <f>IF('Feuille saisie commune'!$F$15="Fumière (fumier paille compostée)", IF('Feuille saisie commune'!$C$15="Porcs charcutiers", 'Porc (Effectif détaillé)'!$J$44, 0), 0)+IF('Feuille saisie commune'!$F$16="Fumière (fumier paille compostée)", IF('Feuille saisie commune'!$C$16="Porcs charcutiers", 'Porc (Effectif détaillé)'!$J$44, 0), 0)+IF('Feuille saisie commune'!$F$17="Fumière (fumier paille compostée)", IF('Feuille saisie commune'!$C$17="Porcs charcutiers", 'Porc (Effectif détaillé)'!$J$44, 0), 0)+IF('Feuille saisie commune'!$F$47="Fumière (fumier paille compostée)", IF('Feuille saisie commune'!$B$48="Porcs charcutiers", 'Porc (Effectif détaillé)'!$J$44, 0), 0)+                                                                                                                                                                                      IF('Feuille saisie commune'!$F$15="Fumière (fumier paille compostée)", IF('Feuille saisie commune'!$C$15="Truies et verrats", 'Porc (Effectif détaillé)'!$J$41+'Porc (Effectif détaillé)'!$J$42, 0), 0)+IF('Feuille saisie commune'!$F$16="Fumière (fumier paille compostée)", IF('Feuille saisie commune'!$C$16="Truies et verrats", 'Porc (Effectif détaillé)'!$J$41+'Porc (Effectif détaillé)'!$J$42, 0), 0)+IF('Feuille saisie commune'!$F$17="Fumière (fumier paille compostée)", IF('Feuille saisie commune'!$C$17="Truies et verrats", 'Porc (Effectif détaillé)'!$J$41+'Porc (Effectif détaillé)'!$J$42, 0), 0)+IF('Feuille saisie commune'!$F$47="Fumière (fumier paille compostée)", IF('Feuille saisie commune'!$B$48="Truies et verrats", 'Porc (Effectif détaillé)'!$J$41+'Porc (Effectif détaillé)'!$J$42, 0), 0)+                                                                                                       IF('Feuille saisie commune'!$F$15="Fumière (fumier paille compostée)", IF('Feuille saisie commune'!$C$15="Post-sevrage", 'Porc (Effectif détaillé)'!$J$43, 0), 0)+IF('Feuille saisie commune'!$F$16="Fumière (fumier paille compostée)", IF('Feuille saisie commune'!$C$16="Post-sevrage", 'Porc (Effectif détaillé)'!$J$43, 0), 0)+IF('Feuille saisie commune'!$F$17="Fumière (fumier paille compostée)", IF('Feuille saisie commune'!$C$17="Post-sevrage", 'Porc (Effectif détaillé)'!$J$43, 0), 0)+IF('Feuille saisie commune'!$F$47="Fumière (fumier paille compostée)", IF('Feuille saisie commune'!$B$48="Post-sevrage", 'Porc (Effectif détaillé)'!$J$43, 0), 0)</f>
        <v>0</v>
      </c>
      <c r="D180" s="151">
        <f>IF('Feuille saisie commune'!$F$15="Fumière (fumier paille compostée)", IF('Feuille saisie commune'!$C$15="Porcs charcutiers", 'Porc (Effectif détaillé)'!$K$44, 0), 0)+IF('Feuille saisie commune'!$F$16="Fumière (fumier paille compostée)", IF('Feuille saisie commune'!$C$16="Porcs charcutiers", 'Porc (Effectif détaillé)'!$K$44, 0), 0)+IF('Feuille saisie commune'!$F$17="Fumière (fumier paille compostée)", IF('Feuille saisie commune'!$C$17="Porcs charcutiers", 'Porc (Effectif détaillé)'!$K$44, 0), 0)+IF('Feuille saisie commune'!$F$47="Fumière (fumier paille compostée)", IF('Feuille saisie commune'!$B$48="Porcs charcutiers", 'Porc (Effectif détaillé)'!$K$44, 0), 0)+                                                                                                                                                                                            IF('Feuille saisie commune'!$F$15="Fumière (fumier paille compostée)", IF('Feuille saisie commune'!$C$15="Truies et verrats", 'Porc (Effectif détaillé)'!$K$41+'Porc (Effectif détaillé)'!$K$42, 0), 0)+IF('Feuille saisie commune'!$F$16="Fumière (fumier paille compostée)", IF('Feuille saisie commune'!$C$16="Truies et verrats", 'Porc (Effectif détaillé)'!$K$41+'Porc (Effectif détaillé)'!$K$42, 0), 0)+IF('Feuille saisie commune'!$F$17="Fumière (fumier paille compostée)", IF('Feuille saisie commune'!$C$17="Truies et verrats", 'Porc (Effectif détaillé)'!$K$41+'Porc (Effectif détaillé)'!$K$42, 0), 0)+IF('Feuille saisie commune'!$F$47="Fumière (fumier paille compostée)", IF('Feuille saisie commune'!$B$48="Truies et verrats", 'Porc (Effectif détaillé)'!$K$41+'Porc (Effectif détaillé)'!$K$42, 0), 0)+                                                                                                          IF('Feuille saisie commune'!$F$15="Fumière (fumier paille compostée)", IF('Feuille saisie commune'!$C$15="Post-sevrage", 'Porc (Effectif détaillé)'!$K$43, 0), 0)+IF('Feuille saisie commune'!$F$16="Fumière (fumier paille compostée)", IF('Feuille saisie commune'!$C$16="Post-sevrage", 'Porc (Effectif détaillé)'!$K$43, 0), 0)+IF('Feuille saisie commune'!$F$17="Fumière (fumier paille compostée)", IF('Feuille saisie commune'!$C$17="Post-sevrage", 'Porc (Effectif détaillé)'!$K$43, 0), 0)+IF('Feuille saisie commune'!$F$47="Fumière (fumier paille compostée)", IF('Feuille saisie commune'!$B$48="Post-sevrage", 'Porc (Effectif détaillé)'!$K$43, 0), 0)</f>
        <v>0</v>
      </c>
      <c r="E180" s="163">
        <f>IF('Feuille saisie commune'!$F$15="Fumière (fumier paille compostée)", IF('Feuille saisie commune'!$C$15="Porcs charcutiers", 'Porc (Effectif détaillé)'!$P$50, 0), 0)+IF('Feuille saisie commune'!$F$16="Fumière (fumier paille compostée)", IF('Feuille saisie commune'!$C$16="Porcs charcutiers", 'Porc (Effectif détaillé)'!$P$50, 0), 0)+IF('Feuille saisie commune'!$F$17="Fumière (fumier paille compostée)", IF('Feuille saisie commune'!$C$17="Porcs charcutiers", 'Porc (Effectif détaillé)'!$P$50, 0), 0)+IF('Feuille saisie commune'!$F$47="Fumière (fumier paille compostée)", IF('Feuille saisie commune'!$B$48="Porcs charcutiers", 'Porc (Effectif détaillé)'!$P$50, 0), 0)+                                                                                                                                                                                            IF('Feuille saisie commune'!$F$15="Fumière (fumier paille compostée)", IF('Feuille saisie commune'!$C$15="Truies et verrats", 'Porc (Effectif détaillé)'!$P$51, 0), 0)+IF('Feuille saisie commune'!$F$16="Fumière (fumier paille compostée)", IF('Feuille saisie commune'!$C$16="Truies et verrats", 'Porc (Effectif détaillé)'!$P$51, 0), 0)+IF('Feuille saisie commune'!$F$17="Fumière (fumier paille compostée)", IF('Feuille saisie commune'!$C$17="Truies et verrats", 'Porc (Effectif détaillé)'!$P$51, 0), 0)+IF('Feuille saisie commune'!$F$47="Fumière (fumier paille compostée)", IF('Feuille saisie commune'!$B$48="Truies et verrats", 'Porc (Effectif détaillé)'!$P$51, 0), 0)+                                                                                                                                                                                                                                               IF('Feuille saisie commune'!$F$15="Fumière (fumier paille compostée)", IF('Feuille saisie commune'!$C$15="Post-sevrage", 'Porc (Effectif détaillé)'!$P$49, 0), 0)+IF('Feuille saisie commune'!$F$16="Fumière (fumier paille compostée)", IF('Feuille saisie commune'!$C$16="Post-sevrage", 'Porc (Effectif détaillé)'!$P$49, 0), 0)+IF('Feuille saisie commune'!$F$17="Fumière (fumier paille compostée)", IF('Feuille saisie commune'!$C$17="Post-sevrage", 'Porc (Effectif détaillé)'!$P$49, 0), 0)+IF('Feuille saisie commune'!$F$47="Fumière (fumier paille compostée)", IF('Feuille saisie commune'!$B$48="Post-sevrage", 'Porc (Effectif détaillé)'!$P$49, 0), 0)</f>
        <v>0</v>
      </c>
      <c r="F180" s="164">
        <f>IF('Feuille saisie commune'!$F$15="Fumière (fumier paille compostée)", IF('Feuille saisie commune'!$C$15="Porcs charcutiers", 'Porc (Effectif détaillé)'!$J$51+'Porc (Effectif détaillé)'!$J$52+'Porc (Effectif détaillé)'!$J$54*0.6, 0), 0)+IF('Feuille saisie commune'!$F$16="Fumière (fumier paille compostée)", IF('Feuille saisie commune'!$C$16="Porcs charcutiers", 'Porc (Effectif détaillé)'!$J$51+'Porc (Effectif détaillé)'!$J$52+'Porc (Effectif détaillé)'!$J$54*0.6, 0), 0)+IF('Feuille saisie commune'!$F$17="Fumière (fumier paille compostée)", IF('Feuille saisie commune'!$C$17="Porcs charcutiers", 'Porc (Effectif détaillé)'!$J$51+'Porc (Effectif détaillé)'!$J$52+'Porc (Effectif détaillé)'!$J$54*0.6, 0), 0)+IF('Feuille saisie commune'!$F$47="Fumière (fumier paille compostée)", IF('Feuille saisie commune'!$B$48="Porcs charcutiers", 'Porc (Effectif détaillé)'!$J$51+'Porc (Effectif détaillé)'!$J$52+'Porc (Effectif détaillé)'!$J$54*0.6, 0), 0)+                                                                                                                                   IF('Feuille saisie commune'!$F$15="Fumière (fumier paille compostée)", IF('Feuille saisie commune'!$C$15="Truies et verrats", 'Porc (Effectif détaillé)'!$J$49+'Porc (Effectif détaillé)'!$J$53+'Porc (Effectif détaillé)'!$J$54*0.4, 0), 0)+IF('Feuille saisie commune'!$F$16="Fumière (fumier paille compostée)", IF('Feuille saisie commune'!$C$16="Truies et verrats", 'Porc (Effectif détaillé)'!$J$49+'Porc (Effectif détaillé)'!$J$53+'Porc (Effectif détaillé)'!$J$54*0.4, 0), 0)+IF('Feuille saisie commune'!$F$17="Fumière (fumier paille compostée)", IF('Feuille saisie commune'!$C$17="Truies et verrats", 'Porc (Effectif détaillé)'!$J$49+'Porc (Effectif détaillé)'!$J$53+'Porc (Effectif détaillé)'!$J$54*0.4, 0), 0)+IF('Feuille saisie commune'!$F$47="Fumière (fumier paille compostée)", IF('Feuille saisie commune'!$B$48="Truies et verrats", 'Porc (Effectif détaillé)'!$J$49+'Porc (Effectif détaillé)'!$J$53+'Porc (Effectif détaillé)'!$J$54*0.4, 0), 0)+                                                                                                                                                                                                              IF('Feuille saisie commune'!$F$15="Fumière (fumier paille compostée)", IF('Feuille saisie commune'!$C$15="Post-sevrage", 'Porc (Effectif détaillé)'!$J$50, 0), 0)+IF('Feuille saisie commune'!$F$16="Fumière (fumier paille compostée)", IF('Feuille saisie commune'!$C$16="Post-sevrage", 'Porc (Effectif détaillé)'!$J$50, 0), 0)+IF('Feuille saisie commune'!$F$17="Fumière (fumier paille compostée)", IF('Feuille saisie commune'!$C$17="Post-sevrage", 'Porc (Effectif détaillé)'!$J$50, 0), 0)+IF('Feuille saisie commune'!$F$47="Fumière (fumier paille compostée)", IF('Feuille saisie commune'!$B$48="Post-sevrage", 'Porc (Effectif détaillé)'!$J$50, 0), 0)</f>
        <v>0</v>
      </c>
      <c r="G180" s="152">
        <f t="shared" ref="G180:G184" si="7">F180+D180-C180-E180</f>
        <v>0</v>
      </c>
      <c r="H180" s="153" t="s">
        <v>599</v>
      </c>
      <c r="I180" s="112"/>
    </row>
    <row r="181" spans="2:9" x14ac:dyDescent="0.25">
      <c r="B181" s="148" t="s">
        <v>600</v>
      </c>
      <c r="C181" s="151">
        <f>IF('Feuille saisie commune'!$F$15="Fumière (fumier paille compostée)", IF('Feuille saisie commune'!$C$15="Porcs charcutiers", 'Porc (Effectif détaillé)'!$L$44, 0), 0)+IF('Feuille saisie commune'!$F$16="Fumière (fumier paille compostée)", IF('Feuille saisie commune'!$C$16="Porcs charcutiers", 'Porc (Effectif détaillé)'!$L$44, 0), 0)+IF('Feuille saisie commune'!$F$17="Fumière (fumier paille compostée)", IF('Feuille saisie commune'!$C$17="Porcs charcutiers", 'Porc (Effectif détaillé)'!$L$44, 0), 0)+IF('Feuille saisie commune'!$F$47="Fumière (fumier paille compostée)", IF('Feuille saisie commune'!$B$48="Porcs charcutiers", 'Porc (Effectif détaillé)'!$L$44, 0), 0)+                                                                                                                                                                                          IF('Feuille saisie commune'!$F$15="Fumière (fumier paille compostée)", IF('Feuille saisie commune'!$C$15="Truies et verrats", 'Porc (Effectif détaillé)'!$L$41+'Porc (Effectif détaillé)'!$L$42, 0), 0)+IF('Feuille saisie commune'!$F$16="Fumière (fumier paille compostée)", IF('Feuille saisie commune'!$C$16="Truies et verrats", 'Porc (Effectif détaillé)'!$L$41+'Porc (Effectif détaillé)'!$L$42, 0), 0)+IF('Feuille saisie commune'!$F$17="Fumière (fumier paille compostée)", IF('Feuille saisie commune'!$C$17="Truies et verrats", 'Porc (Effectif détaillé)'!$L$41+'Porc (Effectif détaillé)'!$L$42, 0), 0)+IF('Feuille saisie commune'!$F$47="Fumière (fumier paille compostée)", IF('Feuille saisie commune'!$B$48="Truies et verrats", 'Porc (Effectif détaillé)'!$L$41+'Porc (Effectif détaillé)'!$L$42, 0), 0)+                                                                                                       IF('Feuille saisie commune'!$F$15="Fumière (fumier paille compostée)", IF('Feuille saisie commune'!$C$15="Post-sevrage", 'Porc (Effectif détaillé)'!$L$43, 0), 0)+IF('Feuille saisie commune'!$F$16="Fumière (fumier paille compostée)", IF('Feuille saisie commune'!$C$16="Post-sevrage", 'Porc (Effectif détaillé)'!$L$43, 0), 0)+IF('Feuille saisie commune'!$F$17="Fumière (fumier paille compostée)", IF('Feuille saisie commune'!$C$17="Post-sevrage", 'Porc (Effectif détaillé)'!$L$43, 0), 0)+IF('Feuille saisie commune'!$F$47="Fumière (fumier paille compostée)", IF('Feuille saisie commune'!$B$48="Post-sevrage", 'Porc (Effectif détaillé)'!$L$43, 0), 0)</f>
        <v>0</v>
      </c>
      <c r="D181" s="151">
        <f>IF('Feuille saisie commune'!$F$15="Fumière (fumier paille compostée)", IF('Feuille saisie commune'!$C$15="Porcs charcutiers", 'Porc (Effectif détaillé)'!$M$44, 0), 0)+IF('Feuille saisie commune'!$F$16="Fumière (fumier paille compostée)", IF('Feuille saisie commune'!$C$16="Porcs charcutiers", 'Porc (Effectif détaillé)'!$M$44, 0), 0)+IF('Feuille saisie commune'!$F$17="Fumière (fumier paille compostée)", IF('Feuille saisie commune'!$C$17="Porcs charcutiers", 'Porc (Effectif détaillé)'!$M$44, 0), 0)+IF('Feuille saisie commune'!$F$47="Fumière (fumier paille compostée)", IF('Feuille saisie commune'!$B$48="Porcs charcutiers", 'Porc (Effectif détaillé)'!$M$44, 0), 0)+                                                                                                                                                                                       IF('Feuille saisie commune'!$F$15="Fumière (fumier paille compostée)", IF('Feuille saisie commune'!$C$15="Truies et verrats", 'Porc (Effectif détaillé)'!$M$41+'Porc (Effectif détaillé)'!$M$42, 0), 0)+IF('Feuille saisie commune'!$F$16="Fumière (fumier paille compostée)", IF('Feuille saisie commune'!$C$16="Truies et verrats", 'Porc (Effectif détaillé)'!$M$41+'Porc (Effectif détaillé)'!$M$42, 0), 0)+IF('Feuille saisie commune'!$F$17="Fumière (fumier paille compostée)", IF('Feuille saisie commune'!$C$17="Truies et verrats", 'Porc (Effectif détaillé)'!$M$41+'Porc (Effectif détaillé)'!$M$42, 0), 0)+IF('Feuille saisie commune'!$F$47="Fumière (fumier paille compostée)", IF('Feuille saisie commune'!$B$48="Truies et verrats", 'Porc (Effectif détaillé)'!$M$41+'Porc (Effectif détaillé)'!$M$42, 0), 0)+                                                                                                          IF('Feuille saisie commune'!$F$15="Fumière (fumier paille compostée)", IF('Feuille saisie commune'!$C$15="Post-sevrage", 'Porc (Effectif détaillé)'!$M$43, 0), 0)+IF('Feuille saisie commune'!$F$16="Fumière (fumier paille compostée)", IF('Feuille saisie commune'!$C$16="Post-sevrage", 'Porc (Effectif détaillé)'!$M$43, 0), 0)+IF('Feuille saisie commune'!$F$17="Fumière (fumier paille compostée)", IF('Feuille saisie commune'!$C$17="Post-sevrage", 'Porc (Effectif détaillé)'!$M$43, 0), 0)+IF('Feuille saisie commune'!$F$47="Fumière (fumier paille compostée)", IF('Feuille saisie commune'!$B$48="Post-sevrage", 'Porc (Effectif détaillé)'!$M$43, 0), 0)</f>
        <v>0</v>
      </c>
      <c r="E181" s="163">
        <f>IF('Feuille saisie commune'!$F$15="Fumière (fumier paille compostée)", IF('Feuille saisie commune'!$C$15="Porcs charcutiers", 'Porc (Effectif détaillé)'!$Q$50, 0), 0)+IF('Feuille saisie commune'!$F$16="Fumière (fumier paille compostée)", IF('Feuille saisie commune'!$C$16="Porcs charcutiers", 'Porc (Effectif détaillé)'!$Q$50, 0), 0)+IF('Feuille saisie commune'!$F$17="Fumière (fumier paille compostée)", IF('Feuille saisie commune'!$C$17="Porcs charcutiers", 'Porc (Effectif détaillé)'!$Q$50, 0), 0)+IF('Feuille saisie commune'!$F$47="Fumière (fumier paille compostée)", IF('Feuille saisie commune'!$B$48="Porcs charcutiers", 'Porc (Effectif détaillé)'!$Q$50, 0), 0)+                                                                                                                                                                                            IF('Feuille saisie commune'!$F$15="Fumière (fumier paille compostée)", IF('Feuille saisie commune'!$C$15="Truies et verrats", 'Porc (Effectif détaillé)'!$Q$51, 0), 0)+IF('Feuille saisie commune'!$F$16="Fumière (fumier paille compostée)", IF('Feuille saisie commune'!$C$16="Truies et verrats", 'Porc (Effectif détaillé)'!$Q$51, 0), 0)+IF('Feuille saisie commune'!$F$17="Fumière (fumier paille compostée)", IF('Feuille saisie commune'!$C$17="Truies et verrats", 'Porc (Effectif détaillé)'!$Q$51, 0), 0)+IF('Feuille saisie commune'!$F$47="Fumière (fumier paille compostée)", IF('Feuille saisie commune'!$B$48="Truies et verrats", 'Porc (Effectif détaillé)'!$Q$51, 0), 0)+                                                                                                                                                                                                                                               IF('Feuille saisie commune'!$F$15="Fumière (fumier paille compostée)", IF('Feuille saisie commune'!$C$15="Post-sevrage", 'Porc (Effectif détaillé)'!$Q$49, 0), 0)+IF('Feuille saisie commune'!$F$16="Fumière (fumier paille compostée)", IF('Feuille saisie commune'!$C$16="Post-sevrage", 'Porc (Effectif détaillé)'!$Q$49, 0), 0)+IF('Feuille saisie commune'!$F$17="Fumière (fumier paille compostée)", IF('Feuille saisie commune'!$C$17="Post-sevrage", 'Porc (Effectif détaillé)'!$Q$49, 0), 0)+IF('Feuille saisie commune'!$F$47="Fumière (fumier paille compostée)", IF('Feuille saisie commune'!$B$48="Post-sevrage", 'Porc (Effectif détaillé)'!$Q$49, 0), 0)</f>
        <v>0</v>
      </c>
      <c r="F181" s="164">
        <f>IF('Feuille saisie commune'!$F$15="Fumière (fumier paille compostée)", IF('Feuille saisie commune'!$C$15="Porcs charcutiers", 'Porc (Effectif détaillé)'!$K$51+'Porc (Effectif détaillé)'!$K$52+'Porc (Effectif détaillé)'!$K$54*0.6, 0), 0)+IF('Feuille saisie commune'!$F$16="Fumière (fumier paille compostée)", IF('Feuille saisie commune'!$C$16="Porcs charcutiers", 'Porc (Effectif détaillé)'!$K$51+'Porc (Effectif détaillé)'!$K$52+'Porc (Effectif détaillé)'!$K$54*0.6, 0), 0)+IF('Feuille saisie commune'!$F$17="Fumière (fumier paille compostée)", IF('Feuille saisie commune'!$C$17="Porcs charcutiers", 'Porc (Effectif détaillé)'!$K$51+'Porc (Effectif détaillé)'!$K$52+'Porc (Effectif détaillé)'!$K$54*0.6, 0), 0)+IF('Feuille saisie commune'!$F$47="Fumière (fumier paille compostée)", IF('Feuille saisie commune'!$B$48="Porcs charcutiers", 'Porc (Effectif détaillé)'!$K$51+'Porc (Effectif détaillé)'!$K$52+'Porc (Effectif détaillé)'!$K$54*0.6, 0), 0)+                                                                                                                                   IF('Feuille saisie commune'!$F$15="Fumière (fumier paille compostée)", IF('Feuille saisie commune'!$C$15="Truies et verrats", 'Porc (Effectif détaillé)'!$K$49+'Porc (Effectif détaillé)'!$K$53+'Porc (Effectif détaillé)'!$K$54*0.4, 0), 0)+IF('Feuille saisie commune'!$F$16="Fumière (fumier paille compostée)", IF('Feuille saisie commune'!$C$16="Truies et verrats", 'Porc (Effectif détaillé)'!$K$49+'Porc (Effectif détaillé)'!$K$53+'Porc (Effectif détaillé)'!$K$54*0.4, 0), 0)+IF('Feuille saisie commune'!$F$17="Fumière (fumier paille compostée)", IF('Feuille saisie commune'!$C$17="Truies et verrats", 'Porc (Effectif détaillé)'!$K$49+'Porc (Effectif détaillé)'!$K$53+'Porc (Effectif détaillé)'!$K$54*0.4, 0), 0)+IF('Feuille saisie commune'!$F$47="Fumière (fumier paille compostée)", IF('Feuille saisie commune'!$B$48="Truies et verrats", 'Porc (Effectif détaillé)'!$K$49+'Porc (Effectif détaillé)'!$K$53+'Porc (Effectif détaillé)'!$K$54*0.4, 0), 0)+                                                                                                                                                                                                              IF('Feuille saisie commune'!$F$15="Fumière (fumier paille compostée)", IF('Feuille saisie commune'!$C$15="Post-sevrage", 'Porc (Effectif détaillé)'!$K$50, 0), 0)+IF('Feuille saisie commune'!$F$16="Fumière (fumier paille compostée)", IF('Feuille saisie commune'!$C$16="Post-sevrage", 'Porc (Effectif détaillé)'!$K$50, 0), 0)+IF('Feuille saisie commune'!$F$17="Fumière (fumier paille compostée)", IF('Feuille saisie commune'!$C$17="Post-sevrage", 'Porc (Effectif détaillé)'!$K$50, 0), 0)+IF('Feuille saisie commune'!$F$47="Fumière (fumier paille compostée)", IF('Feuille saisie commune'!$B$48="Post-sevrage", 'Porc (Effectif détaillé)'!$K$50, 0), 0)</f>
        <v>0</v>
      </c>
      <c r="G181" s="152">
        <f t="shared" si="7"/>
        <v>0</v>
      </c>
      <c r="H181" s="153" t="s">
        <v>601</v>
      </c>
      <c r="I181" s="165"/>
    </row>
    <row r="182" spans="2:9" x14ac:dyDescent="0.25">
      <c r="B182" s="148" t="s">
        <v>594</v>
      </c>
      <c r="C182" s="151">
        <f>IF('Feuille saisie commune'!$F$15="Fumière (fumier paille compostée)", IF('Feuille saisie commune'!$C$15="Porcs charcutiers", 'Porc (Effectif détaillé)'!$N$44, 0), 0)+IF('Feuille saisie commune'!$F$16="Fumière (fumier paille compostée)", IF('Feuille saisie commune'!$C$16="Porcs charcutiers", 'Porc (Effectif détaillé)'!$N$44, 0), 0)+IF('Feuille saisie commune'!$F$17="Fumière (fumier paille compostée)", IF('Feuille saisie commune'!$C$17="Porcs charcutiers", 'Porc (Effectif détaillé)'!$N$44, 0), 0)+IF('Feuille saisie commune'!$F$47="Fumière (fumier paille compostée)", IF('Feuille saisie commune'!$B$48="Porcs charcutiers", 'Porc (Effectif détaillé)'!$N$44, 0), 0)+                                                                                                                                                                                      IF('Feuille saisie commune'!$F$15="Fumière (fumier paille compostée)", IF('Feuille saisie commune'!$C$15="Truies et verrats", 'Porc (Effectif détaillé)'!$N$41+'Porc (Effectif détaillé)'!$N$42, 0), 0)+IF('Feuille saisie commune'!$F$16="Fumière (fumier paille compostée)", IF('Feuille saisie commune'!$C$16="Truies et verrats", 'Porc (Effectif détaillé)'!$N$41+'Porc (Effectif détaillé)'!$N$42, 0), 0)+IF('Feuille saisie commune'!$F$17="Fumière (fumier paille compostée)", IF('Feuille saisie commune'!$C$17="Truies et verrats", 'Porc (Effectif détaillé)'!$N$41+'Porc (Effectif détaillé)'!$N$42, 0), 0)+IF('Feuille saisie commune'!$F$47="Fumière (fumier paille compostée)", IF('Feuille saisie commune'!$B$48="Truies et verrats", 'Porc (Effectif détaillé)'!$N$41+'Porc (Effectif détaillé)'!$N$42, 0), 0)+                                                                                                         IF('Feuille saisie commune'!$F$15="Fumière (fumier paille compostée)", IF('Feuille saisie commune'!$C$15="Post-sevrage", 'Porc (Effectif détaillé)'!$N$43, 0), 0)+IF('Feuille saisie commune'!$F$16="Fumière (fumier paille compostée)", IF('Feuille saisie commune'!$C$16="Post-sevrage", 'Porc (Effectif détaillé)'!$N$43, 0), 0)+IF('Feuille saisie commune'!$F$17="Fumière (fumier paille compostée)", IF('Feuille saisie commune'!$C$17="Post-sevrage", 'Porc (Effectif détaillé)'!$N$43, 0), 0)+IF('Feuille saisie commune'!$F$47="Fumière (fumier paille compostée)", IF('Feuille saisie commune'!$B$48="Post-sevrage", 'Porc (Effectif détaillé)'!$N$43, 0), 0)</f>
        <v>0</v>
      </c>
      <c r="D182" s="151">
        <f>IF('Feuille saisie commune'!$F$15="Fumière (fumier paille compostée)", IF('Feuille saisie commune'!$C$15="Porcs charcutiers", 'Porc (Effectif détaillé)'!$O$44, 0), 0)+IF('Feuille saisie commune'!$F$16="Fumière (fumier paille compostée)", IF('Feuille saisie commune'!$C$16="Porcs charcutiers", 'Porc (Effectif détaillé)'!$O$44, 0), 0)+IF('Feuille saisie commune'!$F$17="Fumière (fumier paille compostée)", IF('Feuille saisie commune'!$C$17="Porcs charcutiers", 'Porc (Effectif détaillé)'!$O$44, 0), 0)+IF('Feuille saisie commune'!$F$47="Fumière (fumier paille compostée)", IF('Feuille saisie commune'!$B$48="Porcs charcutiers", 'Porc (Effectif détaillé)'!$O$44, 0), 0)+                                                                                                                                                                                               IF('Feuille saisie commune'!$F$15="Fumière (fumier paille compostée)", IF('Feuille saisie commune'!$C$15="Truies et verrats", 'Porc (Effectif détaillé)'!$O$41+'Porc (Effectif détaillé)'!$O$42, 0), 0)+IF('Feuille saisie commune'!$F$16="Fumière (fumier paille compostée)", IF('Feuille saisie commune'!$C$16="Truies et verrats", 'Porc (Effectif détaillé)'!$O$41+'Porc (Effectif détaillé)'!$O$42, 0), 0)+IF('Feuille saisie commune'!$F$17="Fumière (fumier paille compostée)", IF('Feuille saisie commune'!$C$17="Truies et verrats", 'Porc (Effectif détaillé)'!$O$41+'Porc (Effectif détaillé)'!$O$42, 0), 0)+IF('Feuille saisie commune'!$F$47="Fumière (fumier paille compostée)", IF('Feuille saisie commune'!$B$48="Truies et verrats", 'Porc (Effectif détaillé)'!$O$41+'Porc (Effectif détaillé)'!$O$42, 0), 0)+                                                                                                                                                IF('Feuille saisie commune'!$F$15="Fumière (fumier paille compostée)", IF('Feuille saisie commune'!$C$15="Post-sevrage", 'Porc (Effectif détaillé)'!$O$43, 0), 0)+IF('Feuille saisie commune'!$F$16="Fumière (fumier paille compostée)", IF('Feuille saisie commune'!$C$16="Post-sevrage", 'Porc (Effectif détaillé)'!$O$43, 0), 0)+IF('Feuille saisie commune'!$F$17="Fumière (fumier paille compostée)", IF('Feuille saisie commune'!$C$17="Post-sevrage", 'Porc (Effectif détaillé)'!$O$43, 0), 0)+IF('Feuille saisie commune'!$F$47="Fumière (fumier paille compostée)", IF('Feuille saisie commune'!$B$48="Post-sevrage", 'Porc (Effectif détaillé)'!$O$43, 0), 0)</f>
        <v>0</v>
      </c>
      <c r="E182" s="163">
        <f>IF('Feuille saisie commune'!$F$15="Fumière (fumier paille compostée)", IF('Feuille saisie commune'!$C$15="Porcs charcutiers", 'Porc (Effectif détaillé)'!$R$50, 0), 0)+IF('Feuille saisie commune'!$F$16="Fumière (fumier paille compostée)", IF('Feuille saisie commune'!$C$16="Porcs charcutiers", 'Porc (Effectif détaillé)'!$R$50, 0), 0)+IF('Feuille saisie commune'!$F$17="Fumière (fumier paille compostée)", IF('Feuille saisie commune'!$C$17="Porcs charcutiers", 'Porc (Effectif détaillé)'!$R$50, 0), 0)+IF('Feuille saisie commune'!$F$47="Fumière (fumier paille compostée)", IF('Feuille saisie commune'!$B$48="Porcs charcutiers", 'Porc (Effectif détaillé)'!$R$50, 0), 0)+                                                                                                                                                                                            IF('Feuille saisie commune'!$F$15="Fumière (fumier paille compostée)", IF('Feuille saisie commune'!$C$15="Truies et verrats", 'Porc (Effectif détaillé)'!$R$51, 0), 0)+IF('Feuille saisie commune'!$F$16="Fumière (fumier paille compostée)", IF('Feuille saisie commune'!$C$16="Truies et verrats", 'Porc (Effectif détaillé)'!$R$51, 0), 0)+IF('Feuille saisie commune'!$F$17="Fumière (fumier paille compostée)", IF('Feuille saisie commune'!$C$17="Truies et verrats", 'Porc (Effectif détaillé)'!$R$51, 0), 0)+IF('Feuille saisie commune'!$F$47="Fumière (fumier paille compostée)", IF('Feuille saisie commune'!$B$48="Truies et verrats", 'Porc (Effectif détaillé)'!$R$51, 0), 0)+                                                                                                                                                                                                                                               IF('Feuille saisie commune'!$F$15="Fumière (fumier paille compostée)", IF('Feuille saisie commune'!$C$15="Post-sevrage", 'Porc (Effectif détaillé)'!$R$49, 0), 0)+IF('Feuille saisie commune'!$F$16="Fumière (fumier paille compostée)", IF('Feuille saisie commune'!$C$16="Post-sevrage", 'Porc (Effectif détaillé)'!$R$49, 0), 0)+IF('Feuille saisie commune'!$F$17="Fumière (fumier paille compostée)", IF('Feuille saisie commune'!$C$17="Post-sevrage", 'Porc (Effectif détaillé)'!$R$49, 0), 0)+IF('Feuille saisie commune'!$F$47="Fumière (fumier paille compostée)", IF('Feuille saisie commune'!$B$48="Post-sevrage", 'Porc (Effectif détaillé)'!$R$49, 0), 0)</f>
        <v>0</v>
      </c>
      <c r="F182" s="163">
        <f>IF('Feuille saisie commune'!$F$15="Fumière (fumier paille compostée)", IF('Feuille saisie commune'!$C$15="Porcs charcutiers", 'Porc (Effectif détaillé)'!$L$51+'Porc (Effectif détaillé)'!$L$52+'Porc (Effectif détaillé)'!$L$54*0.6, 0), 0)+IF('Feuille saisie commune'!$F$16="Fumière (fumier paille compostée)", IF('Feuille saisie commune'!$C$16="Porcs charcutiers", 'Porc (Effectif détaillé)'!$L$51+'Porc (Effectif détaillé)'!$L$52+'Porc (Effectif détaillé)'!$L$54*0.6, 0), 0)+IF('Feuille saisie commune'!$F$17="Fumière (fumier paille compostée)", IF('Feuille saisie commune'!$C$17="Porcs charcutiers", 'Porc (Effectif détaillé)'!$L$51+'Porc (Effectif détaillé)'!$L$52+'Porc (Effectif détaillé)'!$L$54*0.6, 0), 0)+IF('Feuille saisie commune'!$F$47="Fumière (fumier paille compostée)", IF('Feuille saisie commune'!$B$48="Porcs charcutiers", 'Porc (Effectif détaillé)'!$L$51+'Porc (Effectif détaillé)'!$L$52+'Porc (Effectif détaillé)'!$L$54*0.6, 0), 0)+                                                                                                                                   IF('Feuille saisie commune'!$F$15="Fumière (fumier paille compostée)", IF('Feuille saisie commune'!$C$15="Truies et verrats", 'Porc (Effectif détaillé)'!$L$49+'Porc (Effectif détaillé)'!$L$53+'Porc (Effectif détaillé)'!$L$54*0.4, 0), 0)+IF('Feuille saisie commune'!$F$16="Fumière (fumier paille compostée)", IF('Feuille saisie commune'!$C$16="Truies et verrats", 'Porc (Effectif détaillé)'!$L$49+'Porc (Effectif détaillé)'!$L$53+'Porc (Effectif détaillé)'!$L$54*0.4, 0), 0)+IF('Feuille saisie commune'!$F$17="Fumière (fumier paille compostée)", IF('Feuille saisie commune'!$C$17="Truies et verrats", 'Porc (Effectif détaillé)'!$I$49+'Porc (Effectif détaillé)'!$I$53+'Porc (Effectif détaillé)'!$I$54*0.4, 0), 0)+IF('Feuille saisie commune'!$F$47="Fumière (fumier paille compostée)", IF('Feuille saisie commune'!$B$48="Truies et verrats", 'Porc (Effectif détaillé)'!$L$49+'Porc (Effectif détaillé)'!$L$53+'Porc (Effectif détaillé)'!$L$54*0.4, 0), 0)+                                                                                                                                                                                                              IF('Feuille saisie commune'!$F$15="Fumière (fumier paille compostée)", IF('Feuille saisie commune'!$C$15="Post-sevrage", 'Porc (Effectif détaillé)'!$L$50, 0), 0)+IF('Feuille saisie commune'!$F$16="Fumière (fumier paille compostée)", IF('Feuille saisie commune'!$C$16="Post-sevrage", 'Porc (Effectif détaillé)'!$L$50, 0), 0)+IF('Feuille saisie commune'!$F$17="Fumière (fumier paille compostée)", IF('Feuille saisie commune'!$C$17="Post-sevrage", 'Porc (Effectif détaillé)'!$L$50, 0), 0)+IF('Feuille saisie commune'!$F$47="Fumière (fumier paille compostée)", IF('Feuille saisie commune'!$B$48="Post-sevrage", 'Porc (Effectif détaillé)'!$L$50, 0), 0)</f>
        <v>0</v>
      </c>
      <c r="G182" s="152">
        <f t="shared" si="7"/>
        <v>0</v>
      </c>
      <c r="H182" s="153" t="s">
        <v>602</v>
      </c>
      <c r="I182" s="112"/>
    </row>
    <row r="183" spans="2:9" x14ac:dyDescent="0.25">
      <c r="B183" s="148" t="s">
        <v>596</v>
      </c>
      <c r="C183" s="154">
        <f>IF('Feuille saisie commune'!$F$15="Fumière (fumier paille compostée)", IF('Feuille saisie commune'!$C$15="Porcs charcutiers", 'Porc (Effectif détaillé)'!$P$44, 0), 0)+IF('Feuille saisie commune'!$F$16="Fumière (fumier paille compostée)", IF('Feuille saisie commune'!$C$16="Porcs charcutiers", 'Porc (Effectif détaillé)'!$P$44, 0), 0)+IF('Feuille saisie commune'!$F$17="Fumière (fumier paille compostée)", IF('Feuille saisie commune'!$C$17="Porcs charcutiers", 'Porc (Effectif détaillé)'!$P$44, 0), 0)+IF('Feuille saisie commune'!$F$47="Fumière (fumier paille compostée)", IF('Feuille saisie commune'!$B$48="Porcs charcutiers", 'Porc (Effectif détaillé)'!$P$44, 0), 0)+                                                                                                                                                                                              IF('Feuille saisie commune'!$F$15="Fumière (fumier paille compostée)", IF('Feuille saisie commune'!$C$15="Truies et verrats", 'Porc (Effectif détaillé)'!$P$41+'Porc (Effectif détaillé)'!$P$42, 0), 0)+IF('Feuille saisie commune'!$F$16="Fumière (fumier paille compostée)", IF('Feuille saisie commune'!$C$16="Truies et verrats", 'Porc (Effectif détaillé)'!$P$41+'Porc (Effectif détaillé)'!$P$42, 0), 0)+IF('Feuille saisie commune'!$F$17="Fumière (fumier paille compostée)", IF('Feuille saisie commune'!$C$17="Truies et verrats", 'Porc (Effectif détaillé)'!$P$41+'Porc (Effectif détaillé)'!$P$42, 0), 0)+IF('Feuille saisie commune'!$F$47="Fumière (fumier paille compostée)", IF('Feuille saisie commune'!$B$48="Truies et verrats", 'Porc (Effectif détaillé)'!$P$41+'Porc (Effectif détaillé)'!$P$42, 0), 0)+                                                                                                            IF('Feuille saisie commune'!$F$15="Fumière (fumier paille compostée)", IF('Feuille saisie commune'!$C$15="Post-sevrage", 'Porc (Effectif détaillé)'!$P$43, 0), 0)+IF('Feuille saisie commune'!$F$16="Fumière (fumier paille compostée)", IF('Feuille saisie commune'!$C$16="Post-sevrage", 'Porc (Effectif détaillé)'!$P$43, 0), 0)+IF('Feuille saisie commune'!$F$17="Fumière (fumier paille compostée)", IF('Feuille saisie commune'!$C$17="Post-sevrage", 'Porc (Effectif détaillé)'!$P$43, 0), 0)+IF('Feuille saisie commune'!$F$47="Fumière (fumier paille compostée)", IF('Feuille saisie commune'!$B$48="Post-sevrage", 'Porc (Effectif détaillé)'!$P$43, 0), 0)</f>
        <v>0</v>
      </c>
      <c r="D183" s="154">
        <f>IF('Feuille saisie commune'!$F$15="Fumière (fumier paille compostée)", IF('Feuille saisie commune'!$C$15="Porcs charcutiers", 'Porc (Effectif détaillé)'!$Q$44, 0), 0)+IF('Feuille saisie commune'!$F$16="Fumière (fumier paille compostée)", IF('Feuille saisie commune'!$C$16="Porcs charcutiers", 'Porc (Effectif détaillé)'!$Q$44, 0), 0)+IF('Feuille saisie commune'!$F$17="Fumière (fumier paille compostée)", IF('Feuille saisie commune'!$C$17="Porcs charcutiers", 'Porc (Effectif détaillé)'!$Q$44, 0), 0)+IF('Feuille saisie commune'!$F$47="Fumière (fumier paille compostée)", IF('Feuille saisie commune'!$B$48="Porcs charcutiers", 'Porc (Effectif détaillé)'!$Q$44, 0), 0)+                                                                                                                                                                                              IF('Feuille saisie commune'!$F$15="Fumière (fumier paille compostée)", IF('Feuille saisie commune'!$C$15="Truies et verrats", 'Porc (Effectif détaillé)'!$Q$41+'Porc (Effectif détaillé)'!$Q$42, 0), 0)+IF('Feuille saisie commune'!$F$16="Fumière (fumier paille compostée)", IF('Feuille saisie commune'!$C$16="Truies et verrats", 'Porc (Effectif détaillé)'!$Q$41+'Porc (Effectif détaillé)'!$Q$42, 0), 0)+IF('Feuille saisie commune'!$F$17="Fumière (fumier paille compostée)", IF('Feuille saisie commune'!$C$17="Truies et verrats", 'Porc (Effectif détaillé)'!$Q$41+'Porc (Effectif détaillé)'!$Q$42, 0), 0)+IF('Feuille saisie commune'!$F$47="Fumière (fumier paille compostée)", IF('Feuille saisie commune'!$B$48="Truies et verrats", 'Porc (Effectif détaillé)'!$Q$41+'Porc (Effectif détaillé)'!$Q$42, 0), 0)+                                                                                                                                               IF('Feuille saisie commune'!$F$15="Fumière (fumier paille compostée)", IF('Feuille saisie commune'!$C$15="Post-sevrage", 'Porc (Effectif détaillé)'!$Q$43, 0), 0)+IF('Feuille saisie commune'!$F$16="Fumière (fumier paille compostée)", IF('Feuille saisie commune'!$C$16="Post-sevrage", 'Porc (Effectif détaillé)'!$Q$43, 0), 0)+IF('Feuille saisie commune'!$F$17="Fumière (fumier paille compostée)", IF('Feuille saisie commune'!$C$17="Post-sevrage", 'Porc (Effectif détaillé)'!$Q$43, 0), 0)+IF('Feuille saisie commune'!$F$47="Fumière (fumier paille compostée)", IF('Feuille saisie commune'!$B$48="Post-sevrage", 'Porc (Effectif détaillé)'!$Q$43, 0), 0)</f>
        <v>0</v>
      </c>
      <c r="E183" s="166">
        <f>IF('Feuille saisie commune'!$F$15="Fumière (fumier paille compostée)", IF('Feuille saisie commune'!$C$15="Porcs charcutiers", 'Porc (Effectif détaillé)'!$S$50, 0), 0)+IF('Feuille saisie commune'!$F$16="Fumière (fumier paille compostée)", IF('Feuille saisie commune'!$C$16="Porcs charcutiers", 'Porc (Effectif détaillé)'!$S$50, 0), 0)+IF('Feuille saisie commune'!$F$17="Fumière (fumier paille compostée)", IF('Feuille saisie commune'!$C$17="Porcs charcutiers", 'Porc (Effectif détaillé)'!$S$50, 0), 0)+IF('Feuille saisie commune'!$F$47="Fumière (fumier paille compostée)", IF('Feuille saisie commune'!$B$48="Porcs charcutiers", 'Porc (Effectif détaillé)'!$S$50, 0), 0)+                                                                                                                                                                                            IF('Feuille saisie commune'!$F$15="Fumière (fumier paille compostée)", IF('Feuille saisie commune'!$C$15="Truies et verrats", 'Porc (Effectif détaillé)'!$S$51, 0), 0)+IF('Feuille saisie commune'!$F$16="Fumière (fumier paille compostée)", IF('Feuille saisie commune'!$C$16="Truies et verrats", 'Porc (Effectif détaillé)'!$S$51, 0), 0)+IF('Feuille saisie commune'!$F$17="Fumière (fumier paille compostée)", IF('Feuille saisie commune'!$C$17="Truies et verrats", 'Porc (Effectif détaillé)'!$S$51, 0), 0)+IF('Feuille saisie commune'!$F$47="Fumière (fumier paille compostée)", IF('Feuille saisie commune'!$B$48="Truies et verrats", 'Porc (Effectif détaillé)'!$S$51, 0), 0)+                                                                                                                                                                                                                                               IF('Feuille saisie commune'!$F$15="Fumière (fumier paille compostée)", IF('Feuille saisie commune'!$C$15="Post-sevrage", 'Porc (Effectif détaillé)'!$S$49, 0), 0)+IF('Feuille saisie commune'!$F$16="Fumière (fumier paille compostée)", IF('Feuille saisie commune'!$C$16="Post-sevrage", 'Porc (Effectif détaillé)'!$S$49, 0), 0)+IF('Feuille saisie commune'!$F$17="Fumière (fumier paille compostée)", IF('Feuille saisie commune'!$C$17="Post-sevrage", 'Porc (Effectif détaillé)'!$S$49, 0), 0)+IF('Feuille saisie commune'!$F$47="Fumière (fumier paille compostée)", IF('Feuille saisie commune'!$B$48="Post-sevrage", 'Porc (Effectif détaillé)'!$S$49, 0), 0)</f>
        <v>0</v>
      </c>
      <c r="F183" s="166">
        <f>IF('Feuille saisie commune'!$F$15="Fumière (fumier paille compostée)", IF('Feuille saisie commune'!$C$15="Porcs charcutiers", 'Porc (Effectif détaillé)'!$M$51+'Porc (Effectif détaillé)'!$M$52+'Porc (Effectif détaillé)'!$M$54*0.6, 0), 0)+IF('Feuille saisie commune'!$F$16="Fumière (fumier paille compostée)", IF('Feuille saisie commune'!$C$16="Porcs charcutiers", 'Porc (Effectif détaillé)'!$M$51+'Porc (Effectif détaillé)'!$M$52+'Porc (Effectif détaillé)'!$M$54*0.6, 0), 0)+IF('Feuille saisie commune'!$F$17="Fumière (fumier paille compostée)", IF('Feuille saisie commune'!$C$17="Porcs charcutiers", 'Porc (Effectif détaillé)'!$M$51+'Porc (Effectif détaillé)'!$M$52+'Porc (Effectif détaillé)'!$M$54*0.6, 0), 0)+IF('Feuille saisie commune'!$F$47="Fumière (fumier paille compostée)", IF('Feuille saisie commune'!$B$48="Porcs charcutiers", 'Porc (Effectif détaillé)'!$M$51+'Porc (Effectif détaillé)'!$M$52+'Porc (Effectif détaillé)'!$M$54*0.6, 0), 0)+                                                                                                                                   IF('Feuille saisie commune'!$F$15="Fumière (fumier paille compostée)", IF('Feuille saisie commune'!$C$15="Truies et verrats", 'Porc (Effectif détaillé)'!$M$49+'Porc (Effectif détaillé)'!$M$53+'Porc (Effectif détaillé)'!$M$54*0.4, 0), 0)+IF('Feuille saisie commune'!$F$16="Fumière (fumier paille compostée)", IF('Feuille saisie commune'!$C$16="Truies et verrats", 'Porc (Effectif détaillé)'!$M$49+'Porc (Effectif détaillé)'!$M$53+'Porc (Effectif détaillé)'!$M$54*0.4, 0), 0)+IF('Feuille saisie commune'!$F$17="Fumière (fumier paille compostée)", IF('Feuille saisie commune'!$C$17="Truies et verrats", 'Porc (Effectif détaillé)'!$M$49+'Porc (Effectif détaillé)'!$M$53+'Porc (Effectif détaillé)'!$M$54*0.4, 0), 0)+IF('Feuille saisie commune'!$F$47="Fumière (fumier paille compostée)", IF('Feuille saisie commune'!$B$48="Truies et verrats", 'Porc (Effectif détaillé)'!$M$49+'Porc (Effectif détaillé)'!$M$53+'Porc (Effectif détaillé)'!$M$54*0.4, 0), 0)+                                                                                                                                                                                                              IF('Feuille saisie commune'!$F$15="Fumière (fumier paille compostée)", IF('Feuille saisie commune'!$C$15="Post-sevrage", 'Porc (Effectif détaillé)'!$M$50, 0), 0)+IF('Feuille saisie commune'!$F$16="Fumière (fumier paille compostée)", IF('Feuille saisie commune'!$C$16="Post-sevrage", 'Porc (Effectif détaillé)'!$M$50, 0), 0)+IF('Feuille saisie commune'!$F$17="Fumière (fumier paille compostée)", IF('Feuille saisie commune'!$C$17="Post-sevrage", 'Porc (Effectif détaillé)'!$M$50, 0), 0)+IF('Feuille saisie commune'!$F$47="Fumière (fumier paille compostée)", IF('Feuille saisie commune'!$B$48="Post-sevrage", 'Porc (Effectif détaillé)'!$M$50, 0), 0)</f>
        <v>0</v>
      </c>
      <c r="G183" s="152">
        <f t="shared" si="7"/>
        <v>0</v>
      </c>
      <c r="H183" s="153"/>
      <c r="I183" s="112"/>
    </row>
    <row r="184" spans="2:9" x14ac:dyDescent="0.25">
      <c r="B184" s="155" t="s">
        <v>597</v>
      </c>
      <c r="C184" s="156">
        <f>IF('Feuille saisie commune'!$F$15="Fumière (fumier paille compostée)", IF('Feuille saisie commune'!$C$15="Porcs charcutiers", 'Porc (Effectif détaillé)'!$R$44, 0), 0)+IF('Feuille saisie commune'!$F$16="Fumière (fumier paille compostée)", IF('Feuille saisie commune'!$C$16="Porcs charcutiers", 'Porc (Effectif détaillé)'!$R$44, 0), 0)+IF('Feuille saisie commune'!$F$17="Fumière (fumier paille compostée)", IF('Feuille saisie commune'!$C$17="Porcs charcutiers", 'Porc (Effectif détaillé)'!$R$44, 0), 0)+IF('Feuille saisie commune'!$F$47="Fumière (fumier paille compostée)", IF('Feuille saisie commune'!$B$48="Porcs charcutiers", 'Porc (Effectif détaillé)'!$R$44, 0), 0) +                                                                                                                                                                                            IF('Feuille saisie commune'!$F$15="Fumière (fumier paille compostée)", IF('Feuille saisie commune'!$C$15="Truies et verrats", 'Porc (Effectif détaillé)'!$R$41+'Porc (Effectif détaillé)'!$R$42, 0), 0)+IF('Feuille saisie commune'!$F$16="Fumière (fumier paille compostée)", IF('Feuille saisie commune'!$C$16="Truies et verrats", 'Porc (Effectif détaillé)'!$R$41+'Porc (Effectif détaillé)'!$R$42, 0), 0)+IF('Feuille saisie commune'!$F$17="Fumière (fumier paille compostée)", IF('Feuille saisie commune'!$C$17="Truies et verrats", 'Porc (Effectif détaillé)'!$R$41+'Porc (Effectif détaillé)'!$R$42, 0), 0)+IF('Feuille saisie commune'!$F$47="Fumière (fumier paille compostée)", IF('Feuille saisie commune'!$B$48="Truies et verrats", 'Porc (Effectif détaillé)'!$R$41+'Porc (Effectif détaillé)'!$R$42, 0), 0)+                                                                                                            IF('Feuille saisie commune'!$F$15="Fumière (fumier paille compostée)", IF('Feuille saisie commune'!$C$15="Post-sevrage", 'Porc (Effectif détaillé)'!$R$43, 0), 0)+IF('Feuille saisie commune'!$F$16="Fumière (fumier paille compostée)", IF('Feuille saisie commune'!$C$16="Post-sevrage", 'Porc (Effectif détaillé)'!$R$43, 0), 0)+IF('Feuille saisie commune'!$F$17="Fumière (fumier paille compostée)", IF('Feuille saisie commune'!$C$17="Post-sevrage", 'Porc (Effectif détaillé)'!$R$43, 0), 0)+IF('Feuille saisie commune'!$F$47="Fumière (fumier paille compostée)", IF('Feuille saisie commune'!$B$48="Post-sevrage", 'Porc (Effectif détaillé)'!$R$43, 0), 0)</f>
        <v>0</v>
      </c>
      <c r="D184" s="156">
        <f>IF('Feuille saisie commune'!$F$15="Fumière (fumier paille compostée)", IF('Feuille saisie commune'!$C$15="Porcs charcutiers", 'Porc (Effectif détaillé)'!$S$44, 0), 0)+IF('Feuille saisie commune'!$F$16="Fumière (fumier paille compostée)", IF('Feuille saisie commune'!$C$16="Porcs charcutiers", 'Porc (Effectif détaillé)'!$S$44, 0), 0)+IF('Feuille saisie commune'!$F$17="Fumière (fumier paille compostée)", IF('Feuille saisie commune'!$C$17="Porcs charcutiers", 'Porc (Effectif détaillé)'!$S$44, 0), 0)+IF('Feuille saisie commune'!$F$47="Fumière (fumier paille compostée)", IF('Feuille saisie commune'!$B$48="Porcs charcutiers", 'Porc (Effectif détaillé)'!$S$44, 0), 0)+                                                                                                                                                                                               IF('Feuille saisie commune'!$F$15="Fumière (fumier paille compostée)", IF('Feuille saisie commune'!$C$15="Truies et verrats", 'Porc (Effectif détaillé)'!$S$41+'Porc (Effectif détaillé)'!$S$42, 0), 0)+IF('Feuille saisie commune'!$F$16="Fumière (fumier paille compostée)", IF('Feuille saisie commune'!$C$16="Truies et verrats", 'Porc (Effectif détaillé)'!$S$41+'Porc (Effectif détaillé)'!$S$42, 0), 0)+IF('Feuille saisie commune'!$F$17="Fumière (fumier paille compostée)", IF('Feuille saisie commune'!$C$17="Truies et verrats", 'Porc (Effectif détaillé)'!$S$41+'Porc (Effectif détaillé)'!$S$42, 0), 0)+IF('Feuille saisie commune'!$F$47="Fumière (fumier paille compostée)", IF('Feuille saisie commune'!$B$48="Truies et verrats", 'Porc (Effectif détaillé)'!$S$41+'Porc (Effectif détaillé)'!$S$42, 0), 0)+                                                                                                           IF('Feuille saisie commune'!$F$15="Fumière (fumier paille compostée)", IF('Feuille saisie commune'!$C$15="Post-sevrage", 'Porc (Effectif détaillé)'!$S$43, 0), 0)+IF('Feuille saisie commune'!$F$16="Fumière (fumier paille compostée)", IF('Feuille saisie commune'!$C$16="Post-sevrage", 'Porc (Effectif détaillé)'!$S$43, 0), 0)+IF('Feuille saisie commune'!$F$17="Fumière (fumier paille compostée)", IF('Feuille saisie commune'!$C$17="Post-sevrage", 'Porc (Effectif détaillé)'!$S$43, 0), 0)+IF('Feuille saisie commune'!$F$47="Fumière (fumier paille compostée)", IF('Feuille saisie commune'!$B$48="Post-sevrage", 'Porc (Effectif détaillé)'!$S$43, 0), 0)</f>
        <v>0</v>
      </c>
      <c r="E184" s="167">
        <f>IF('Feuille saisie commune'!$F$15="Fumière (fumier paille compostée)", IF('Feuille saisie commune'!$C$15="Porcs charcutiers", 'Porc (Effectif détaillé)'!$T$50, 0), 0)+IF('Feuille saisie commune'!$F$16="Fumière (fumier paille compostée)", IF('Feuille saisie commune'!$C$16="Porcs charcutiers", 'Porc (Effectif détaillé)'!$T$50, 0), 0)+IF('Feuille saisie commune'!$F$17="Fumière (fumier paille compostée)", IF('Feuille saisie commune'!$C$17="Porcs charcutiers", 'Porc (Effectif détaillé)'!$T$50, 0), 0)+IF('Feuille saisie commune'!$F$47="Fumière (fumier paille compostée)", IF('Feuille saisie commune'!$B$48="Porcs charcutiers", 'Porc (Effectif détaillé)'!$T$50, 0), 0)+                                                                                                                                                                                            IF('Feuille saisie commune'!$F$15="Fumière (fumier paille compostée)", IF('Feuille saisie commune'!$C$15="Truies et verrats", 'Porc (Effectif détaillé)'!$T$51, 0), 0)+IF('Feuille saisie commune'!$F$16="Fumière (fumier paille compostée)", IF('Feuille saisie commune'!$C$16="Truies et verrats", 'Porc (Effectif détaillé)'!$T$51, 0), 0)+IF('Feuille saisie commune'!$F$17="Fumière (fumier paille compostée)", IF('Feuille saisie commune'!$C$17="Truies et verrats", 'Porc (Effectif détaillé)'!$T$51, 0), 0)+IF('Feuille saisie commune'!$F$47="Fumière (fumier paille compostée)", IF('Feuille saisie commune'!$B$48="Truies et verrats", 'Porc (Effectif détaillé)'!$T$51, 0), 0)+                                                                                                                                                                                                                                               IF('Feuille saisie commune'!$F$15="Fumière (fumier paille compostée)", IF('Feuille saisie commune'!$C$15="Post-sevrage", 'Porc (Effectif détaillé)'!$T$49, 0), 0)+IF('Feuille saisie commune'!$F$16="Fumière (fumier paille compostée)", IF('Feuille saisie commune'!$C$16="Post-sevrage", 'Porc (Effectif détaillé)'!$T$49, 0), 0)+IF('Feuille saisie commune'!$F$17="Fumière (fumier paille compostée)", IF('Feuille saisie commune'!$C$17="Post-sevrage", 'Porc (Effectif détaillé)'!$T$49, 0), 0)+IF('Feuille saisie commune'!$F$47="Fumière (fumier paille compostée)", IF('Feuille saisie commune'!$B$48="Post-sevrage", 'Porc (Effectif détaillé)'!$T$49, 0), 0)</f>
        <v>0</v>
      </c>
      <c r="F184" s="167">
        <f>IF('Feuille saisie commune'!$F$15="Fumière (fumier paille compostée)", IF('Feuille saisie commune'!$C$15="Porcs charcutiers", 'Porc (Effectif détaillé)'!$N$51+'Porc (Effectif détaillé)'!$N$52+'Porc (Effectif détaillé)'!$N$54*0.6, 0), 0)+IF('Feuille saisie commune'!$F$16="Fumière (fumier paille compostée)", IF('Feuille saisie commune'!$C$16="Porcs charcutiers", 'Porc (Effectif détaillé)'!$N$51+'Porc (Effectif détaillé)'!$N$52+'Porc (Effectif détaillé)'!$N$54*0.6, 0), 0)+IF('Feuille saisie commune'!$F$17="Fumière (fumier paille compostée)", IF('Feuille saisie commune'!$C$17="Porcs charcutiers", 'Porc (Effectif détaillé)'!$N$51+'Porc (Effectif détaillé)'!$N$52+'Porc (Effectif détaillé)'!$N$54*0.6, 0), 0)+IF('Feuille saisie commune'!$F$47="Fumière (fumier paille compostée)", IF('Feuille saisie commune'!$B$48="Porcs charcutiers", 'Porc (Effectif détaillé)'!$N$51+'Porc (Effectif détaillé)'!$N$52+'Porc (Effectif détaillé)'!$N$54*0.6, 0), 0)+                                                                                                                                   IF('Feuille saisie commune'!$F$15="Fumière (fumier paille compostée)", IF('Feuille saisie commune'!$C$15="Truies et verrats", 'Porc (Effectif détaillé)'!$N$49+'Porc (Effectif détaillé)'!$N$53+'Porc (Effectif détaillé)'!$N$54*0.4, 0), 0)+IF('Feuille saisie commune'!$F$16="Fumière (fumier paille compostée)", IF('Feuille saisie commune'!$C$16="Truies et verrats", 'Porc (Effectif détaillé)'!$N$49+'Porc (Effectif détaillé)'!$N$53+'Porc (Effectif détaillé)'!$N$54*0.4, 0), 0)+IF('Feuille saisie commune'!$F$17="Fumière (fumier paille compostée)", IF('Feuille saisie commune'!$C$17="Truies et verrats", 'Porc (Effectif détaillé)'!$N$49+'Porc (Effectif détaillé)'!$N$53+'Porc (Effectif détaillé)'!$N$54*0.4, 0), 0)+IF('Feuille saisie commune'!$F$47="Fumière (fumier paille compostée)", IF('Feuille saisie commune'!$B$48="Truies et verrats", 'Porc (Effectif détaillé)'!$N$49+'Porc (Effectif détaillé)'!$N$53+'Porc (Effectif détaillé)'!$N$54*0.4, 0), 0)+                                                                                                                                                                                                              IF('Feuille saisie commune'!$F$15="Fumière (fumier paille compostée)", IF('Feuille saisie commune'!$C$15="Post-sevrage", 'Porc (Effectif détaillé)'!$N$50, 0), 0)+IF('Feuille saisie commune'!$F$16="Fumière (fumier paille compostée)", IF('Feuille saisie commune'!$C$16="Post-sevrage", 'Porc (Effectif détaillé)'!$N$50, 0), 0)+IF('Feuille saisie commune'!$F$17="Fumière (fumier paille compostée)", IF('Feuille saisie commune'!$C$17="Post-sevrage", 'Porc (Effectif détaillé)'!$N$50, 0), 0)+IF('Feuille saisie commune'!$F$47="Fumière (fumier paille compostée)", IF('Feuille saisie commune'!$B$48="Post-sevrage", 'Porc (Effectif détaillé)'!$N$50, 0), 0)</f>
        <v>0</v>
      </c>
      <c r="G184" s="170">
        <f t="shared" si="7"/>
        <v>0</v>
      </c>
      <c r="H184" s="158"/>
      <c r="I184" s="12"/>
    </row>
    <row r="185" spans="2:9" x14ac:dyDescent="0.25">
      <c r="B185" s="147" t="s">
        <v>603</v>
      </c>
      <c r="C185" s="148"/>
      <c r="D185" s="148"/>
      <c r="E185" s="160"/>
      <c r="F185" s="148"/>
      <c r="G185" s="149"/>
      <c r="H185" s="150"/>
      <c r="I185" s="12"/>
    </row>
    <row r="186" spans="2:9" x14ac:dyDescent="0.25">
      <c r="B186" s="148" t="s">
        <v>666</v>
      </c>
      <c r="C186" s="110" t="s">
        <v>50</v>
      </c>
      <c r="D186" s="110" t="s">
        <v>50</v>
      </c>
      <c r="E186" s="151">
        <f>IF('Feuille saisie commune'!$F$15="Fumière (fumier paille compostée)", 'Feuille saisie commune'!$G$15,0)+IF('Feuille saisie commune'!$F$16="Fumière (fumier paille compostée)",'Feuille saisie commune'!$G$16,0)+IF('Feuille saisie commune'!$F$17="Fumière (fumier paille compostée)",'Feuille saisie commune'!$G$17,0)+IF('Feuille saisie commune'!$F$47="Fumière (fumier paille compostée)",'Feuille saisie commune'!$G$44,0)</f>
        <v>0</v>
      </c>
      <c r="F186" s="110" t="s">
        <v>50</v>
      </c>
      <c r="G186" s="152">
        <f>+E186</f>
        <v>0</v>
      </c>
      <c r="H186" s="150"/>
      <c r="I186" s="12"/>
    </row>
    <row r="187" spans="2:9" x14ac:dyDescent="0.25">
      <c r="B187" s="148" t="s">
        <v>590</v>
      </c>
      <c r="C187" s="110" t="s">
        <v>50</v>
      </c>
      <c r="D187" s="110" t="s">
        <v>50</v>
      </c>
      <c r="E187" s="151">
        <f>E186*$D$4*10</f>
        <v>0</v>
      </c>
      <c r="F187" s="110" t="s">
        <v>50</v>
      </c>
      <c r="G187" s="152">
        <f>+E187</f>
        <v>0</v>
      </c>
      <c r="H187" s="153" t="s">
        <v>591</v>
      </c>
      <c r="I187" s="12"/>
    </row>
    <row r="188" spans="2:9" x14ac:dyDescent="0.25">
      <c r="B188" s="148" t="s">
        <v>592</v>
      </c>
      <c r="C188" s="110" t="s">
        <v>50</v>
      </c>
      <c r="D188" s="110" t="s">
        <v>50</v>
      </c>
      <c r="E188" s="151">
        <f>E186*$E$4*10</f>
        <v>0</v>
      </c>
      <c r="F188" s="110" t="s">
        <v>50</v>
      </c>
      <c r="G188" s="152">
        <f>+E188</f>
        <v>0</v>
      </c>
      <c r="H188" s="153" t="s">
        <v>593</v>
      </c>
      <c r="I188" s="12"/>
    </row>
    <row r="189" spans="2:9" x14ac:dyDescent="0.25">
      <c r="B189" s="155" t="s">
        <v>594</v>
      </c>
      <c r="C189" s="168" t="s">
        <v>50</v>
      </c>
      <c r="D189" s="168" t="s">
        <v>50</v>
      </c>
      <c r="E189" s="169">
        <f>E186*$F$4*10</f>
        <v>0</v>
      </c>
      <c r="F189" s="168" t="s">
        <v>50</v>
      </c>
      <c r="G189" s="170">
        <f>+E189</f>
        <v>0</v>
      </c>
      <c r="H189" s="158" t="s">
        <v>595</v>
      </c>
      <c r="I189" s="12"/>
    </row>
    <row r="190" spans="2:9" x14ac:dyDescent="0.25">
      <c r="C190" s="12"/>
      <c r="D190" s="12"/>
      <c r="E190" s="12"/>
      <c r="F190" s="12"/>
      <c r="G190" s="12"/>
      <c r="H190" s="12"/>
      <c r="I190" s="12"/>
    </row>
    <row r="193" spans="1:9" x14ac:dyDescent="0.25">
      <c r="A193" s="186" t="s">
        <v>661</v>
      </c>
    </row>
    <row r="194" spans="1:9" x14ac:dyDescent="0.25">
      <c r="B194" s="99"/>
      <c r="C194" s="111"/>
      <c r="D194" s="111"/>
      <c r="E194" s="112"/>
      <c r="F194" s="112"/>
      <c r="G194" s="1143" t="s">
        <v>564</v>
      </c>
      <c r="H194" s="1144"/>
      <c r="I194" s="12"/>
    </row>
    <row r="195" spans="1:9" x14ac:dyDescent="0.25">
      <c r="B195" s="208"/>
      <c r="C195" s="111"/>
      <c r="D195" s="111"/>
      <c r="E195" s="116"/>
      <c r="F195" s="117"/>
      <c r="G195" s="1145" t="s">
        <v>565</v>
      </c>
      <c r="H195" s="1146"/>
      <c r="I195" s="12"/>
    </row>
    <row r="196" spans="1:9" x14ac:dyDescent="0.25">
      <c r="B196" s="99"/>
      <c r="C196" s="111"/>
      <c r="D196" s="111"/>
      <c r="E196" s="118" t="s">
        <v>930</v>
      </c>
      <c r="F196" s="118"/>
      <c r="G196" s="1151">
        <f>K333</f>
        <v>72</v>
      </c>
      <c r="H196" s="1152"/>
      <c r="I196" s="12"/>
    </row>
    <row r="197" spans="1:9" x14ac:dyDescent="0.25">
      <c r="B197" s="99"/>
      <c r="C197" s="111"/>
      <c r="D197" s="111"/>
      <c r="E197" s="114"/>
      <c r="F197" s="114"/>
      <c r="G197" s="184"/>
      <c r="H197" s="184"/>
      <c r="I197" s="185"/>
    </row>
    <row r="198" spans="1:9" x14ac:dyDescent="0.25">
      <c r="B198" s="100"/>
      <c r="C198" s="111"/>
      <c r="D198" s="111"/>
      <c r="E198" s="111"/>
      <c r="F198" s="111"/>
      <c r="G198" s="111"/>
      <c r="H198" s="111"/>
      <c r="I198" s="112"/>
    </row>
    <row r="199" spans="1:9" x14ac:dyDescent="0.25">
      <c r="B199" s="100"/>
      <c r="C199" s="111"/>
      <c r="D199" s="111"/>
      <c r="E199" s="111"/>
      <c r="F199" s="111"/>
      <c r="G199" s="111"/>
      <c r="H199" s="111"/>
      <c r="I199" s="112"/>
    </row>
    <row r="200" spans="1:9" x14ac:dyDescent="0.25">
      <c r="B200" s="101" t="s">
        <v>566</v>
      </c>
      <c r="C200" s="119" t="s">
        <v>567</v>
      </c>
      <c r="D200" s="1149" t="s">
        <v>568</v>
      </c>
      <c r="E200" s="1150"/>
      <c r="F200" s="1149" t="s">
        <v>569</v>
      </c>
      <c r="G200" s="1150"/>
      <c r="H200" s="119" t="s">
        <v>570</v>
      </c>
      <c r="I200" s="120" t="s">
        <v>571</v>
      </c>
    </row>
    <row r="201" spans="1:9" x14ac:dyDescent="0.25">
      <c r="B201" s="121"/>
      <c r="C201" s="122" t="s">
        <v>17</v>
      </c>
      <c r="D201" s="214" t="s">
        <v>560</v>
      </c>
      <c r="E201" s="215" t="s">
        <v>572</v>
      </c>
      <c r="F201" s="214" t="s">
        <v>561</v>
      </c>
      <c r="G201" s="215" t="s">
        <v>573</v>
      </c>
      <c r="H201" s="122" t="s">
        <v>17</v>
      </c>
      <c r="I201" s="215" t="s">
        <v>17</v>
      </c>
    </row>
    <row r="202" spans="1:9" x14ac:dyDescent="0.25">
      <c r="B202" s="125" t="s">
        <v>574</v>
      </c>
      <c r="C202" s="126">
        <f>G214</f>
        <v>26224.224000000002</v>
      </c>
      <c r="D202" s="127">
        <f>G215</f>
        <v>4790.9639999999999</v>
      </c>
      <c r="E202" s="128" t="s">
        <v>50</v>
      </c>
      <c r="F202" s="126">
        <f>G216</f>
        <v>0</v>
      </c>
      <c r="G202" s="129" t="s">
        <v>50</v>
      </c>
      <c r="H202" s="130" t="str">
        <f>IF(G217&gt;0,G217,"-")</f>
        <v>-</v>
      </c>
      <c r="I202" s="131" t="str">
        <f>IF(G218&gt;0,G218,"-")</f>
        <v>-</v>
      </c>
    </row>
    <row r="203" spans="1:9" x14ac:dyDescent="0.25">
      <c r="B203" s="132" t="s">
        <v>575</v>
      </c>
      <c r="C203" s="133">
        <f>E228</f>
        <v>0</v>
      </c>
      <c r="D203" s="134">
        <f>E229</f>
        <v>0</v>
      </c>
      <c r="E203" s="135"/>
      <c r="F203" s="133">
        <f>E230</f>
        <v>0</v>
      </c>
      <c r="G203" s="136" t="s">
        <v>50</v>
      </c>
      <c r="H203" s="136" t="s">
        <v>50</v>
      </c>
      <c r="I203" s="136" t="s">
        <v>50</v>
      </c>
    </row>
    <row r="204" spans="1:9" x14ac:dyDescent="0.25">
      <c r="B204" s="132" t="s">
        <v>576</v>
      </c>
      <c r="C204" s="133">
        <f>D221-C221</f>
        <v>0</v>
      </c>
      <c r="D204" s="134">
        <f>D222-C222</f>
        <v>0</v>
      </c>
      <c r="E204" s="135" t="s">
        <v>50</v>
      </c>
      <c r="F204" s="133">
        <f>D223-C223</f>
        <v>0</v>
      </c>
      <c r="G204" s="136" t="s">
        <v>50</v>
      </c>
      <c r="H204" s="130" t="str">
        <f>IF(H202&lt;&gt;"-",D224-C224,H202)</f>
        <v>-</v>
      </c>
      <c r="I204" s="131" t="str">
        <f>IF(I202&lt;&gt;"-",D225-C225,I202)</f>
        <v>-</v>
      </c>
    </row>
    <row r="205" spans="1:9" x14ac:dyDescent="0.25">
      <c r="B205" s="132" t="s">
        <v>577</v>
      </c>
      <c r="C205" s="133">
        <f>F221-E221</f>
        <v>0</v>
      </c>
      <c r="D205" s="134">
        <f>F222-E222</f>
        <v>0</v>
      </c>
      <c r="E205" s="135" t="s">
        <v>50</v>
      </c>
      <c r="F205" s="133">
        <f>F223-E223</f>
        <v>0</v>
      </c>
      <c r="G205" s="136" t="s">
        <v>50</v>
      </c>
      <c r="H205" s="137" t="str">
        <f>IF(H202&lt;&gt;"-",F224-E224,H202)</f>
        <v>-</v>
      </c>
      <c r="I205" s="138" t="str">
        <f>IF(I202&lt;&gt;"-",F225-E225,I202)</f>
        <v>-</v>
      </c>
    </row>
    <row r="206" spans="1:9" x14ac:dyDescent="0.25">
      <c r="B206" s="132" t="s">
        <v>578</v>
      </c>
      <c r="C206" s="133">
        <f>C202-C204-C205</f>
        <v>26224.224000000002</v>
      </c>
      <c r="D206" s="134">
        <f>D202-D204-D205</f>
        <v>4790.9639999999999</v>
      </c>
      <c r="E206" s="139">
        <f>(30.97376*2+15.9994*5)/(30.97376*2)*D206</f>
        <v>10977.858117924336</v>
      </c>
      <c r="F206" s="134">
        <f>F202-F204-F205</f>
        <v>0</v>
      </c>
      <c r="G206" s="139">
        <f>+F206*1.2</f>
        <v>0</v>
      </c>
      <c r="H206" s="130" t="str">
        <f>IF(H202&lt;&gt;"-",H202-H204-H205,H202)</f>
        <v>-</v>
      </c>
      <c r="I206" s="140" t="str">
        <f>IF(I202&lt;&gt;"-",I202-I204-I205,I202)</f>
        <v>-</v>
      </c>
    </row>
    <row r="207" spans="1:9" x14ac:dyDescent="0.25">
      <c r="B207" s="141" t="s">
        <v>579</v>
      </c>
      <c r="C207" s="142">
        <f>C206*G196/100</f>
        <v>18881.441279999999</v>
      </c>
      <c r="D207" s="134" t="s">
        <v>580</v>
      </c>
      <c r="E207" s="143" t="s">
        <v>580</v>
      </c>
      <c r="F207" s="134" t="s">
        <v>580</v>
      </c>
      <c r="G207" s="143" t="s">
        <v>580</v>
      </c>
      <c r="H207" s="130" t="s">
        <v>580</v>
      </c>
      <c r="I207" s="130" t="s">
        <v>580</v>
      </c>
    </row>
    <row r="208" spans="1:9" x14ac:dyDescent="0.25">
      <c r="B208" s="144" t="s">
        <v>581</v>
      </c>
      <c r="C208" s="187">
        <f>IF('Porc (Aliments)'!$E$2="Méthode du BRS",C206+C203-C207,0)+ IF('Porc (Aliments)'!$E$2="Alimentation standard",'Porc (Effectif détaillé)'!U65,0)+IF('Porc (Aliments)'!$E$2="Alimentation biphase",'Porc (Effectif détaillé)'!U72,0)</f>
        <v>5107.2000000000007</v>
      </c>
      <c r="D208" s="145">
        <f>D202+D203-D204-D205</f>
        <v>4790.9639999999999</v>
      </c>
      <c r="E208" s="188">
        <f>IF('Porc (Aliments)'!$E$2="Méthode du BRS",(30.97376*2+15.9994*5)/(30.97376*2)*D208,0)+IF('Porc (Aliments)'!$E$2="Alimentation standard",'Porc (Effectif détaillé)'!V65,0)+IF('Porc (Aliments)'!$E$2="Alimentation biphase",'Porc (Effectif détaillé)'!V72,0)</f>
        <v>6496</v>
      </c>
      <c r="F208" s="145">
        <f>F202+F203-F204-F205</f>
        <v>0</v>
      </c>
      <c r="G208" s="189">
        <f>IF('Porc (Aliments)'!$E$2="Méthode du BRS",F208*1.2,0)+IF('Porc (Aliments)'!$E$2="Alimentation standard",'Porc (Effectif détaillé)'!W65,0)+IF('Porc (Aliments)'!$E$2="Alimentation biphase",'Porc (Effectif détaillé)'!W72,0)</f>
        <v>8736</v>
      </c>
      <c r="H208" s="190">
        <f>IF('Porc (Aliments)'!$E$2="Méthode du BRS",H206,(IF(Param_porcs!$G$16=51,('Porc (Effectif détaillé)'!$D$41+'Porc (Effectif détaillé)'!$C$41+'Porc (Effectif détaillé)'!$C$42+'Porc (Effectif détaillé)'!$D$42)/2*18.24,0)+IF(Param_porcs!$G$16=52,('Porc (Effectif détaillé)'!$D$44-'Porc (Effectif détaillé)'!$C$44+'Porc (Effectif détaillé)'!$C$51+'Porc (Effectif détaillé)'!$C$52)*4.17,0)+IF(Param_porcs!$G$16=53,('Porc (Effectif détaillé)'!$D$43-'Porc (Effectif détaillé)'!$C$43+'Porc (Effectif détaillé)'!$C$50+'Porc (Effectif détaillé)'!$C$51+'Porc (Effectif détaillé)'!$C$52)*6.04,0)+IF(Param_porcs!$G$17=51,('Porc (Effectif détaillé)'!$D$41+'Porc (Effectif détaillé)'!$C$41+'Porc (Effectif détaillé)'!$C$42+'Porc (Effectif détaillé)'!$D$42)/2*18.24,0)+IF(Param_porcs!$G$17=52,('Porc (Effectif détaillé)'!$D$44-'Porc (Effectif détaillé)'!$C$44+'Porc (Effectif détaillé)'!$C$51+'Porc (Effectif détaillé)'!$C$52)*4.17,0)+IF(Param_porcs!$G$17=53,('Porc (Effectif détaillé)'!$D$43-'Porc (Effectif détaillé)'!$C$43+'Porc (Effectif détaillé)'!$C$50+'Porc (Effectif détaillé)'!$C$51+'Porc (Effectif détaillé)'!$C$52)*6.04,0)+IF(Param_porcs!$G$18=51,('Porc (Effectif détaillé)'!$D$41+'Porc (Effectif détaillé)'!$C$41+'Porc (Effectif détaillé)'!$C$42+'Porc (Effectif détaillé)'!$D$42)/2*18.24,0)+IF(Param_porcs!$G$18=52,('Porc (Effectif détaillé)'!$D$44-'Porc (Effectif détaillé)'!$C$44+'Porc (Effectif détaillé)'!$C$51+'Porc (Effectif détaillé)'!$C$52)*4.17,0)+IF(Param_porcs!$G$18=53,('Porc (Effectif détaillé)'!$D$43-'Porc (Effectif détaillé)'!$C$43+'Porc (Effectif détaillé)'!$C$50+'Porc (Effectif détaillé)'!$C$51+'Porc (Effectif détaillé)'!$C$52)*6.04,0)+IF(Param_porcs!$G$19=51,('Porc (Effectif détaillé)'!$D$41+'Porc (Effectif détaillé)'!$C$41+'Porc (Effectif détaillé)'!$C$42+'Porc (Effectif détaillé)'!$D$42)/2*18.24,0)+IF(Param_porcs!$G$19=52,('Porc (Effectif détaillé)'!$D$44-'Porc (Effectif détaillé)'!$C$44+'Porc (Effectif détaillé)'!$C$51+'Porc (Effectif détaillé)'!$C$52)*4.17,0)+IF(Param_porcs!$G$19=53,('Porc (Effectif détaillé)'!$D$43-'Porc (Effectif détaillé)'!$C$43+'Porc (Effectif détaillé)'!$C$50+'Porc (Effectif détaillé)'!$C$51+'Porc (Effectif détaillé)'!$C$52)*6.04,0))/1000)</f>
        <v>18.6816</v>
      </c>
      <c r="I208" s="191">
        <f>IF('Porc (Aliments)'!$E$2="Méthode du BRS",I206,(IF(Param_porcs!$G$16=51,('Porc (Effectif détaillé)'!$D$41+'Porc (Effectif détaillé)'!$C$41+'Porc (Effectif détaillé)'!$C$42+'Porc (Effectif détaillé)'!$D$42)/2*138,0)+IF(Param_porcs!$G$16=52,('Porc (Effectif détaillé)'!$D$44-'Porc (Effectif détaillé)'!$C$44+'Porc (Effectif détaillé)'!$C$51+'Porc (Effectif détaillé)'!$C$52)*22.42,0)+IF(Param_porcs!$G$16=53,('Porc (Effectif détaillé)'!$D$43-'Porc (Effectif détaillé)'!$C$43+'Porc (Effectif détaillé)'!$C$50+'Porc (Effectif détaillé)'!$C$51+'Porc (Effectif détaillé)'!$C$52)*4.92,0)+IF(Param_porcs!$G$17=51,('Porc (Effectif détaillé)'!$D$41+'Porc (Effectif détaillé)'!$C$41+'Porc (Effectif détaillé)'!$C$42+'Porc (Effectif détaillé)'!$D$42)/2*138,0)+IF(Param_porcs!$G$17=52,('Porc (Effectif détaillé)'!$D$44-'Porc (Effectif détaillé)'!$C$44+'Porc (Effectif détaillé)'!$C$51+'Porc (Effectif détaillé)'!$C$52)*22.42,0)+IF(Param_porcs!$G$17=53,('Porc (Effectif détaillé)'!$D$43-'Porc (Effectif détaillé)'!$C$43+'Porc (Effectif détaillé)'!$C$50+'Porc (Effectif détaillé)'!$C$51+'Porc (Effectif détaillé)'!$C$52)*4.92,0)+IF(Param_porcs!$G$18=51,('Porc (Effectif détaillé)'!$D$41+'Porc (Effectif détaillé)'!$C$41+'Porc (Effectif détaillé)'!$C$42+'Porc (Effectif détaillé)'!$D$42)/2*138,0)+IF(Param_porcs!$G$18=52,('Porc (Effectif détaillé)'!$D$44-'Porc (Effectif détaillé)'!$C$44+'Porc (Effectif détaillé)'!$C$51+'Porc (Effectif détaillé)'!$C$52)*22.42,0)+IF(Param_porcs!$G$18=53,('Porc (Effectif détaillé)'!$D$43-'Porc (Effectif détaillé)'!$C$43+'Porc (Effectif détaillé)'!$C$50+'Porc (Effectif détaillé)'!$C$51+'Porc (Effectif détaillé)'!$C$52)*4.92,0)+IF(Param_porcs!$G$19=51,('Porc (Effectif détaillé)'!$D$41+'Porc (Effectif détaillé)'!$C$41+'Porc (Effectif détaillé)'!$C$42+'Porc (Effectif détaillé)'!$D$42)/2*138,0)+IF(Param_porcs!$G$19=52,('Porc (Effectif détaillé)'!$D$44-'Porc (Effectif détaillé)'!$C$44+'Porc (Effectif détaillé)'!$C$51+'Porc (Effectif détaillé)'!$C$52)*22.42,0)+IF(Param_porcs!$G$19=53,('Porc (Effectif détaillé)'!$D$43-'Porc (Effectif détaillé)'!$C$43+'Porc (Effectif détaillé)'!$C$50+'Porc (Effectif détaillé)'!$C$51+'Porc (Effectif détaillé)'!$C$52)*4.92,0))/1000)</f>
        <v>100.44160000000001</v>
      </c>
    </row>
    <row r="209" spans="2:9" x14ac:dyDescent="0.25">
      <c r="B209" s="99"/>
      <c r="C209" s="111"/>
      <c r="D209" s="111"/>
      <c r="E209" s="111"/>
      <c r="F209" s="111"/>
      <c r="G209" s="111"/>
      <c r="H209" s="111"/>
      <c r="I209" s="112"/>
    </row>
    <row r="210" spans="2:9" x14ac:dyDescent="0.25">
      <c r="B210" s="115" t="s">
        <v>582</v>
      </c>
      <c r="C210" s="111"/>
      <c r="D210" s="111"/>
      <c r="E210" s="111"/>
      <c r="F210" s="111"/>
      <c r="G210" s="111"/>
      <c r="H210" s="111"/>
      <c r="I210" s="112"/>
    </row>
    <row r="211" spans="2:9" x14ac:dyDescent="0.25">
      <c r="B211" s="146"/>
      <c r="C211" s="113" t="s">
        <v>583</v>
      </c>
      <c r="D211" s="113" t="s">
        <v>584</v>
      </c>
      <c r="E211" s="113" t="s">
        <v>585</v>
      </c>
      <c r="F211" s="113" t="s">
        <v>586</v>
      </c>
      <c r="G211" s="1141" t="s">
        <v>587</v>
      </c>
      <c r="H211" s="1142"/>
      <c r="I211" s="112"/>
    </row>
    <row r="212" spans="2:9" x14ac:dyDescent="0.25">
      <c r="B212" s="147" t="s">
        <v>588</v>
      </c>
      <c r="C212" s="148"/>
      <c r="D212" s="148"/>
      <c r="E212" s="148"/>
      <c r="F212" s="148"/>
      <c r="G212" s="149"/>
      <c r="H212" s="150"/>
      <c r="I212" s="112"/>
    </row>
    <row r="213" spans="2:9" x14ac:dyDescent="0.25">
      <c r="B213" s="148" t="s">
        <v>589</v>
      </c>
      <c r="C213" s="151"/>
      <c r="D213" s="151"/>
      <c r="E213" s="151">
        <f>IF('Porc (Aliments)'!$A$10="Fumière ( litière sciure fraiche )", 'Porc (Aliments)'!$D$15,0) + IF('Porc (Aliments)'!$A$20="Fumière ( litière sciure fraiche )",'Porc (Aliments)'!$D$25,0) + IF('Porc (Aliments)'!$A$30="Fumière ( litière sciure fraiche )",'Porc (Aliments)'!$D$35,0)</f>
        <v>1050650</v>
      </c>
      <c r="F213" s="110" t="s">
        <v>50</v>
      </c>
      <c r="G213" s="152">
        <f>E213+C213-D213</f>
        <v>1050650</v>
      </c>
      <c r="H213" s="150"/>
      <c r="I213" s="112"/>
    </row>
    <row r="214" spans="2:9" x14ac:dyDescent="0.25">
      <c r="B214" s="148" t="s">
        <v>590</v>
      </c>
      <c r="C214" s="151"/>
      <c r="D214" s="151"/>
      <c r="E214" s="151">
        <f>IF('Porc (Aliments)'!$A$10="Fumière ( litière sciure fraiche )", 'Porc (Aliments)'!$J$15,0) + IF('Porc (Aliments)'!$A$20="Fumière ( litière sciure fraiche )", 'Porc (Aliments)'!$J$25,0) + IF('Porc (Aliments)'!$A$30="Fumière ( litière sciure fraiche )", 'Porc (Aliments)'!$J$35, 0)</f>
        <v>26224.224000000002</v>
      </c>
      <c r="F214" s="110" t="s">
        <v>50</v>
      </c>
      <c r="G214" s="152">
        <f t="shared" ref="G214:G218" si="8">E214+C214-D214</f>
        <v>26224.224000000002</v>
      </c>
      <c r="H214" s="153" t="s">
        <v>591</v>
      </c>
      <c r="I214" s="112"/>
    </row>
    <row r="215" spans="2:9" x14ac:dyDescent="0.25">
      <c r="B215" s="148" t="s">
        <v>592</v>
      </c>
      <c r="C215" s="151"/>
      <c r="D215" s="151"/>
      <c r="E215" s="151">
        <f>IF('Porc (Aliments)'!$A$10="Fumière ( litière sciure fraiche )",'Porc (Aliments)'!$K$15,0) + IF('Porc (Aliments)'!$A$20="Fumière ( litière sciure fraiche )",'Porc (Aliments)'!$K$25,0) + IF('Porc (Aliments)'!$A$30="Fumière ( litière sciure fraiche )", 'Porc (Aliments)'!$K$35,0)</f>
        <v>4790.9639999999999</v>
      </c>
      <c r="F215" s="110" t="s">
        <v>50</v>
      </c>
      <c r="G215" s="152">
        <f t="shared" si="8"/>
        <v>4790.9639999999999</v>
      </c>
      <c r="H215" s="153" t="s">
        <v>593</v>
      </c>
      <c r="I215" s="112"/>
    </row>
    <row r="216" spans="2:9" x14ac:dyDescent="0.25">
      <c r="B216" s="148" t="s">
        <v>594</v>
      </c>
      <c r="C216" s="151"/>
      <c r="D216" s="151"/>
      <c r="E216" s="151">
        <f>IF('Porc (Aliments)'!$A$10="Fumière ( litière sciure fraiche )", 'Porc (Aliments)'!$L$15,0) + IF('Porc (Aliments)'!$A$20="Fumière ( litière sciure fraiche )", 'Porc (Aliments)'!$L$25,0) + IF('Porc (Aliments)'!$A$30="Fumière ( litière sciure fraiche )",'Porc (Aliments)'!$L$35,0)</f>
        <v>0</v>
      </c>
      <c r="F216" s="110" t="s">
        <v>50</v>
      </c>
      <c r="G216" s="152">
        <f t="shared" si="8"/>
        <v>0</v>
      </c>
      <c r="H216" s="153" t="s">
        <v>595</v>
      </c>
      <c r="I216" s="112"/>
    </row>
    <row r="217" spans="2:9" x14ac:dyDescent="0.25">
      <c r="B217" s="148" t="s">
        <v>596</v>
      </c>
      <c r="C217" s="151"/>
      <c r="D217" s="151"/>
      <c r="E217" s="151">
        <f>(IF('Porc (Aliments)'!$A$10="Fumière ( litière sciure fraiche )",'Porc (Aliments)'!$M$15,0) + IF('Porc (Aliments)'!$A$20="Fumière ( litière sciure fraiche )", 'Porc (Aliments)'!$M$25,0) + IF('Porc (Aliments)'!$A$30="Fumière ( litière sciure fraiche )",'Porc (Aliments)'!$M$35,0))/1000</f>
        <v>0</v>
      </c>
      <c r="F217" s="137"/>
      <c r="G217" s="152">
        <f t="shared" si="8"/>
        <v>0</v>
      </c>
      <c r="H217" s="153"/>
      <c r="I217" s="112"/>
    </row>
    <row r="218" spans="2:9" x14ac:dyDescent="0.25">
      <c r="B218" s="155" t="s">
        <v>597</v>
      </c>
      <c r="C218" s="169"/>
      <c r="D218" s="169"/>
      <c r="E218" s="169">
        <f>(IF('Porc (Aliments)'!$A$10="Fumière ( litière sciure fraiche )",'Porc (Aliments)'!$N$15,0) + IF('Porc (Aliments)'!$A$20="Fumière ( litière sciure fraiche )",'Porc (Aliments)'!$N$25,0) + IF('Porc (Aliments)'!$A$30="Fumière ( litière sciure fraiche )",'Porc (Aliments)'!$N$35,0))/1000</f>
        <v>0</v>
      </c>
      <c r="F218" s="157"/>
      <c r="G218" s="152">
        <f t="shared" si="8"/>
        <v>0</v>
      </c>
      <c r="H218" s="158"/>
      <c r="I218" s="112"/>
    </row>
    <row r="219" spans="2:9" x14ac:dyDescent="0.25">
      <c r="B219" s="147" t="s">
        <v>598</v>
      </c>
      <c r="C219" s="159"/>
      <c r="D219" s="159"/>
      <c r="E219" s="159"/>
      <c r="F219" s="160"/>
      <c r="G219" s="161"/>
      <c r="H219" s="162"/>
      <c r="I219" s="112"/>
    </row>
    <row r="220" spans="2:9" x14ac:dyDescent="0.25">
      <c r="B220" s="148" t="s">
        <v>589</v>
      </c>
      <c r="C220" s="151">
        <f>IF('Feuille saisie commune'!$F$15="Fumière ( litière sciure fraiche )", IF('Feuille saisie commune'!$C$15="Porcs charcutiers", 'Porc (Effectif détaillé)'!$T$44, 0), 0)+IF('Feuille saisie commune'!$F$16="Fumière ( litière sciure fraiche )", IF('Feuille saisie commune'!$C$16="Porcs charcutiers", 'Porc (Effectif détaillé)'!$T$44, 0), 0)+IF('Feuille saisie commune'!$F$17="Fumière ( litière sciure fraiche )", IF('Feuille saisie commune'!$C$17="Porcs charcutiers", 'Porc (Effectif détaillé)'!$T$44, 0), 0)+IF('Feuille saisie commune'!$F$47="Fumière ( litière sciure fraiche )", IF('Feuille saisie commune'!$B$48="Porcs charcutiers", 'Porc (Effectif détaillé)'!$T$44, 0), 0)+                                                                                                                                                                                      IF('Feuille saisie commune'!$F$15="Fumière ( litière sciure fraiche )", IF('Feuille saisie commune'!$C$15="Truies et verrats", 'Porc (Effectif détaillé)'!$T$41+'Porc (Effectif détaillé)'!$T$42, 0), 0)+IF('Feuille saisie commune'!$F$16="Fumière ( litière sciure fraiche )", IF('Feuille saisie commune'!$C$16="Truies et verrats", 'Porc (Effectif détaillé)'!$T$41+'Porc (Effectif détaillé)'!$T$42, 0), 0)+IF('Feuille saisie commune'!$F$17="Fumière ( litière sciure fraiche )", IF('Feuille saisie commune'!$C$17="Truies et verrats", 'Porc (Effectif détaillé)'!$T$41+'Porc (Effectif détaillé)'!$T$42, 0), 0)+IF('Feuille saisie commune'!$F$47="Fumière ( litière sciure fraiche )", IF('Feuille saisie commune'!$B$48="Truies et verrats", 'Porc (Effectif détaillé)'!$T$41+'Porc (Effectif détaillé)'!$T$42, 0), 0)+                                                                                                       IF('Feuille saisie commune'!$F$15="Fumière ( litière sciure fraiche )", IF('Feuille saisie commune'!$C$15="Post-sevrage", 'Porc (Effectif détaillé)'!$T$43, 0), 0)+IF('Feuille saisie commune'!$F$16="Fumière ( litière sciure fraiche )", IF('Feuille saisie commune'!$C$16="Post-sevrage", 'Porc (Effectif détaillé)'!$T$43, 0), 0)+IF('Feuille saisie commune'!$F$17="Fumière ( litière sciure fraiche )", IF('Feuille saisie commune'!$C$17="Post-sevrage", 'Porc (Effectif détaillé)'!$T$43, 0), 0)+IF('Feuille saisie commune'!$F$47="Fumière ( litière sciure fraiche )", IF('Feuille saisie commune'!$B$48="Post-sevrage", 'Porc (Effectif détaillé)'!$T$43, 0), 0)</f>
        <v>0</v>
      </c>
      <c r="D220" s="151">
        <f>IF('Feuille saisie commune'!$F$15="Fumière ( litière sciure fraiche )", IF('Feuille saisie commune'!$C$15="Porcs charcutiers", 'Porc (Effectif détaillé)'!$U$44, 0), 0)+IF('Feuille saisie commune'!$F$16="Fumière ( litière sciure fraiche )", IF('Feuille saisie commune'!$C$16="Porcs charcutiers", 'Porc (Effectif détaillé)'!$U$44, 0), 0)+IF('Feuille saisie commune'!$F$17="Fumière ( litière sciure fraiche )", IF('Feuille saisie commune'!$C$17="Porcs charcutiers", 'Porc (Effectif détaillé)'!$U$44, 0), 0)+IF('Feuille saisie commune'!$F$47="Fumière ( litière sciure fraiche )", IF('Feuille saisie commune'!$B$48="Porcs charcutiers", 'Porc (Effectif détaillé)'!$U$44, 0), 0)+                                                                                                                                                                                            IF('Feuille saisie commune'!$F$15="Fumière ( litière sciure fraiche )", IF('Feuille saisie commune'!$C$15="Truies et verrats", 'Porc (Effectif détaillé)'!$U$41+'Porc (Effectif détaillé)'!$U$42, 0), 0)+IF('Feuille saisie commune'!$F$16="Fumière ( litière sciure fraiche )", IF('Feuille saisie commune'!$C$16="Truies et verrats", 'Porc (Effectif détaillé)'!$U$41+'Porc (Effectif détaillé)'!$U$42, 0), 0)+IF('Feuille saisie commune'!$F$17="Fumière ( litière sciure fraiche )", IF('Feuille saisie commune'!$C$17="Truies et verrats", 'Porc (Effectif détaillé)'!$U$41+'Porc (Effectif détaillé)'!$U$42, 0), 0)+IF('Feuille saisie commune'!$F$47="Fumière ( litière sciure fraiche )", IF('Feuille saisie commune'!$B$48="Truies et verrats", 'Porc (Effectif détaillé)'!$U$41+'Porc (Effectif détaillé)'!$U$42, 0), 0)+                                                                                                           IF('Feuille saisie commune'!$F$15="Fumière ( litière sciure fraiche )", IF('Feuille saisie commune'!$C$15="Post-sevrage", 'Porc (Effectif détaillé)'!$U$43, 0), 0)+IF('Feuille saisie commune'!$F$16="Fumière ( litière sciure fraiche )", IF('Feuille saisie commune'!$C$16="Post-sevrage", 'Porc (Effectif détaillé)'!$U$43, 0), 0)+IF('Feuille saisie commune'!$F$17="Fumière ( litière sciure fraiche )", IF('Feuille saisie commune'!$C$17="Post-sevrage", 'Porc (Effectif détaillé)'!$U$43, 0), 0)+IF('Feuille saisie commune'!$F$47="Fumière ( litière sciure fraiche )", IF('Feuille saisie commune'!$B$48="Post-sevrage", 'Porc (Effectif détaillé)'!$U$43, 0), 0)</f>
        <v>0</v>
      </c>
      <c r="E220" s="163">
        <f>IF('Feuille saisie commune'!$F$15="Fumière ( litière sciure fraiche )", IF('Feuille saisie commune'!$C$15="Porcs charcutiers", 'Porc (Effectif détaillé)'!$O$50, 0), 0)+IF('Feuille saisie commune'!$F$16="Fumière ( litière sciure fraiche )", IF('Feuille saisie commune'!$C$16="Porcs charcutiers", 'Porc (Effectif détaillé)'!$O$50, 0), 0)+IF('Feuille saisie commune'!$F$17="Fumière ( litière sciure fraiche )", IF('Feuille saisie commune'!$C$17="Porcs charcutiers", 'Porc (Effectif détaillé)'!$O$50, 0), 0)+IF('Feuille saisie commune'!$F$47="Fumière ( litière sciure fraiche )", IF('Feuille saisie commune'!$B$48="Porcs charcutiers", 'Porc (Effectif détaillé)'!$O$50, 0), 0)+                                                                                                                                                                                            IF('Feuille saisie commune'!$F$15="Fumière ( litière sciure fraiche )", IF('Feuille saisie commune'!$C$15="Truies et verrats", 'Porc (Effectif détaillé)'!$O$51, 0), 0)+IF('Feuille saisie commune'!$F$16="Fumière ( litière sciure fraiche )", IF('Feuille saisie commune'!$C$16="Truies et verrats", 'Porc (Effectif détaillé)'!$O$51, 0), 0)+IF('Feuille saisie commune'!$F$17="Fumière ( litière sciure fraiche )", IF('Feuille saisie commune'!$C$17="Truies et verrats", 'Porc (Effectif détaillé)'!$O$51, 0), 0)+IF('Feuille saisie commune'!$F$47="Fumière ( litière sciure fraiche )", IF('Feuille saisie commune'!$B$48="Truies et verrats", 'Porc (Effectif détaillé)'!$O$51, 0), 0)+                                                                                                                                                                                                                                               IF('Feuille saisie commune'!$F$15="Fumière ( litière sciure fraiche )", IF('Feuille saisie commune'!$C$15="Post-sevrage", 'Porc (Effectif détaillé)'!$O$49, 0), 0)+IF('Feuille saisie commune'!$F$16="Fumière ( litière sciure fraiche )", IF('Feuille saisie commune'!$C$16="Post-sevrage", 'Porc (Effectif détaillé)'!$O$49, 0), 0)+IF('Feuille saisie commune'!$F$17="Fumière ( litière sciure fraiche )", IF('Feuille saisie commune'!$C$17="Post-sevrage", 'Porc (Effectif détaillé)'!$O$49, 0), 0)+IF('Feuille saisie commune'!$F$47="Fumière ( litière sciure fraiche )", IF('Feuille saisie commune'!$B$48="Post-sevrage", 'Porc (Effectif détaillé)'!$O$49, 0), 0)</f>
        <v>0</v>
      </c>
      <c r="F220" s="164">
        <f>IF('Feuille saisie commune'!$F$15="Fumière ( litière sciure fraiche )", IF('Feuille saisie commune'!$C$15="Porcs charcutiers", 'Porc (Effectif détaillé)'!$I$51+'Porc (Effectif détaillé)'!$I$52+'Porc (Effectif détaillé)'!$I$54*0.6, 0), 0)+IF('Feuille saisie commune'!$F$16="Fumière ( litière sciure fraiche )", IF('Feuille saisie commune'!$C$16="Porcs charcutiers", 'Porc (Effectif détaillé)'!$I$51+'Porc (Effectif détaillé)'!$I$52+'Porc (Effectif détaillé)'!$I$54*0.6, 0), 0)+IF('Feuille saisie commune'!$F$17="Fumière ( litière sciure fraiche )", IF('Feuille saisie commune'!$C$17="Porcs charcutiers", 'Porc (Effectif détaillé)'!$I$51+'Porc (Effectif détaillé)'!$I$52+'Porc (Effectif détaillé)'!$I$54*0.6, 0), 0)+IF('Feuille saisie commune'!$F$47="Fumière ( litière sciure fraiche )", IF('Feuille saisie commune'!$B$48="Porcs charcutiers", 'Porc (Effectif détaillé)'!$I$51+'Porc (Effectif détaillé)'!$I$52+'Porc (Effectif détaillé)'!$I$54*0.6, 0), 0)+                                                                                                                                   IF('Feuille saisie commune'!$F$15="Fumière ( litière sciure fraiche )", IF('Feuille saisie commune'!$C$15="Truies et verrats", 'Porc (Effectif détaillé)'!$I$49+'Porc (Effectif détaillé)'!$I$53+'Porc (Effectif détaillé)'!$I$54*0.4, 0), 0)+IF('Feuille saisie commune'!$F$16="Fumière ( litière sciure fraiche )", IF('Feuille saisie commune'!$C$16="Truies et verrats", 'Porc (Effectif détaillé)'!$I$49+'Porc (Effectif détaillé)'!$I$53+'Porc (Effectif détaillé)'!$I$54*0.4, 0), 0)+IF('Feuille saisie commune'!$F$17="Fumière ( litière sciure fraiche )", IF('Feuille saisie commune'!$C$17="Truies et verrats", 'Porc (Effectif détaillé)'!$I$49+'Porc (Effectif détaillé)'!$I$53+'Porc (Effectif détaillé)'!$I$54*0.4, 0), 0)+IF('Feuille saisie commune'!$F$47="Fumière ( litière sciure fraiche )", IF('Feuille saisie commune'!$B$48="Truies et verrats", 'Porc (Effectif détaillé)'!I$49+'Porc (Effectif détaillé)'!I$53+'Porc (Effectif détaillé)'!I$54*0.4, 0), 0)+                                                                                                                                                                                                              IF('Feuille saisie commune'!$F$15="Fumière ( litière sciure fraiche )", IF('Feuille saisie commune'!$C$15="Post-sevrage", 'Porc (Effectif détaillé)'!$I$50, 0), 0)+IF('Feuille saisie commune'!$F$16="Fumière ( litière sciure fraiche )", IF('Feuille saisie commune'!$C$16="Post-sevrage", 'Porc (Effectif détaillé)'!$I$50, 0), 0)+IF('Feuille saisie commune'!$F$17="Fumière ( litière sciure fraiche )", IF('Feuille saisie commune'!$C$17="Post-sevrage", 'Porc (Effectif détaillé)'!$I$50, 0), 0)+IF('Feuille saisie commune'!$F$47="Fumière ( litière sciure fraiche )", IF('Feuille saisie commune'!$B$48="Post-sevrage", 'Porc (Effectif détaillé)'!$I$50, 0), 0)</f>
        <v>0</v>
      </c>
      <c r="G220" s="152">
        <f>F220+D220-C220-E220</f>
        <v>0</v>
      </c>
      <c r="H220" s="153"/>
      <c r="I220" s="112"/>
    </row>
    <row r="221" spans="2:9" x14ac:dyDescent="0.25">
      <c r="B221" s="148" t="s">
        <v>590</v>
      </c>
      <c r="C221" s="151">
        <f>IF('Feuille saisie commune'!$F$15="Fumière ( litière sciure fraiche )", IF('Feuille saisie commune'!$C$15="Porcs charcutiers", 'Porc (Effectif détaillé)'!$J$44, 0), 0)+IF('Feuille saisie commune'!$F$16="Fumière ( litière sciure fraiche )", IF('Feuille saisie commune'!$C$16="Porcs charcutiers", 'Porc (Effectif détaillé)'!$J$44, 0), 0)+IF('Feuille saisie commune'!$F$17="Fumière ( litière sciure fraiche )", IF('Feuille saisie commune'!$C$17="Porcs charcutiers", 'Porc (Effectif détaillé)'!$J$44, 0), 0)+IF('Feuille saisie commune'!$F$47="Fumière ( litière sciure fraiche )", IF('Feuille saisie commune'!$B$48="Porcs charcutiers", 'Porc (Effectif détaillé)'!$J$44, 0), 0)+                                                                                                                                                                                      IF('Feuille saisie commune'!$F$15="Fumière ( litière sciure fraiche )", IF('Feuille saisie commune'!$C$15="Truies et verrats", 'Porc (Effectif détaillé)'!$J$41+'Porc (Effectif détaillé)'!$J$42, 0), 0)+IF('Feuille saisie commune'!$F$16="Fumière ( litière sciure fraiche )", IF('Feuille saisie commune'!$C$16="Truies et verrats", 'Porc (Effectif détaillé)'!$J$41+'Porc (Effectif détaillé)'!$J$42, 0), 0)+IF('Feuille saisie commune'!$F$17="Fumière ( litière sciure fraiche )", IF('Feuille saisie commune'!$C$17="Truies et verrats", 'Porc (Effectif détaillé)'!$J$41+'Porc (Effectif détaillé)'!$J$42, 0), 0)+IF('Feuille saisie commune'!$F$47="Fumière ( litière sciure fraiche )", IF('Feuille saisie commune'!$B$48="Truies et verrats", 'Porc (Effectif détaillé)'!$J$41+'Porc (Effectif détaillé)'!$J$42, 0), 0)+                                                                                                       IF('Feuille saisie commune'!$F$15="Fumière ( litière sciure fraiche )", IF('Feuille saisie commune'!$C$15="Post-sevrage", 'Porc (Effectif détaillé)'!$J$43, 0), 0)+IF('Feuille saisie commune'!$F$16="Fumière ( litière sciure fraiche )", IF('Feuille saisie commune'!$C$16="Post-sevrage", 'Porc (Effectif détaillé)'!$J$43, 0), 0)+IF('Feuille saisie commune'!$F$17="Fumière ( litière sciure fraiche )", IF('Feuille saisie commune'!$C$17="Post-sevrage", 'Porc (Effectif détaillé)'!$J$43, 0), 0)+IF('Feuille saisie commune'!$F$47="Fumière ( litière sciure fraiche )", IF('Feuille saisie commune'!$B$48="Post-sevrage", 'Porc (Effectif détaillé)'!$J$43, 0), 0)</f>
        <v>0</v>
      </c>
      <c r="D221" s="151">
        <f>IF('Feuille saisie commune'!$F$15="Fumière ( litière sciure fraiche )", IF('Feuille saisie commune'!$C$15="Porcs charcutiers", 'Porc (Effectif détaillé)'!$K$44, 0), 0)+IF('Feuille saisie commune'!$F$16="Fumière ( litière sciure fraiche )", IF('Feuille saisie commune'!$C$16="Porcs charcutiers", 'Porc (Effectif détaillé)'!$K$44, 0), 0)+IF('Feuille saisie commune'!$F$17="Fumière ( litière sciure fraiche )", IF('Feuille saisie commune'!$C$17="Porcs charcutiers", 'Porc (Effectif détaillé)'!$K$44, 0), 0)+IF('Feuille saisie commune'!$F$47="Fumière ( litière sciure fraiche )", IF('Feuille saisie commune'!$B$48="Porcs charcutiers", 'Porc (Effectif détaillé)'!$K$44, 0), 0)+                                                                                                                                                                                            IF('Feuille saisie commune'!$F$15="Fumière ( litière sciure fraiche )", IF('Feuille saisie commune'!$C$15="Truies et verrats", 'Porc (Effectif détaillé)'!$K$41+'Porc (Effectif détaillé)'!$K$42, 0), 0)+IF('Feuille saisie commune'!$F$16="Fumière ( litière sciure fraiche )", IF('Feuille saisie commune'!$C$16="Truies et verrats", 'Porc (Effectif détaillé)'!$K$41+'Porc (Effectif détaillé)'!$K$42, 0), 0)+IF('Feuille saisie commune'!$F$17="Fumière ( litière sciure fraiche )", IF('Feuille saisie commune'!$C$17="Truies et verrats", 'Porc (Effectif détaillé)'!$K$41+'Porc (Effectif détaillé)'!$K$42, 0), 0)+IF('Feuille saisie commune'!$F$47="Fumière ( litière sciure fraiche )", IF('Feuille saisie commune'!$B$48="Truies et verrats", 'Porc (Effectif détaillé)'!$K$41+'Porc (Effectif détaillé)'!$K$42, 0), 0)+                                                                                                          IF('Feuille saisie commune'!$F$15="Fumière ( litière sciure fraiche )", IF('Feuille saisie commune'!$C$15="Post-sevrage", 'Porc (Effectif détaillé)'!$K$43, 0), 0)+IF('Feuille saisie commune'!$F$16="Fumière ( litière sciure fraiche )", IF('Feuille saisie commune'!$C$16="Post-sevrage", 'Porc (Effectif détaillé)'!$K$43, 0), 0)+IF('Feuille saisie commune'!$F$17="Fumière ( litière sciure fraiche )", IF('Feuille saisie commune'!$C$17="Post-sevrage", 'Porc (Effectif détaillé)'!$K$43, 0), 0)+IF('Feuille saisie commune'!$F$47="Fumière ( litière sciure fraiche )", IF('Feuille saisie commune'!$B$48="Post-sevrage", 'Porc (Effectif détaillé)'!$K$43, 0), 0)</f>
        <v>0</v>
      </c>
      <c r="E221" s="163">
        <f>IF('Feuille saisie commune'!$F$15="Fumière ( litière sciure fraiche )", IF('Feuille saisie commune'!$C$15="Porcs charcutiers", 'Porc (Effectif détaillé)'!$P$50, 0), 0)+IF('Feuille saisie commune'!$F$16="Fumière ( litière sciure fraiche )", IF('Feuille saisie commune'!$C$16="Porcs charcutiers", 'Porc (Effectif détaillé)'!$P$50, 0), 0)+IF('Feuille saisie commune'!$F$17="Fumière ( litière sciure fraiche )", IF('Feuille saisie commune'!$C$17="Porcs charcutiers", 'Porc (Effectif détaillé)'!$P$50, 0), 0)+IF('Feuille saisie commune'!$F$47="Fumière ( litière sciure fraiche )", IF('Feuille saisie commune'!$B$48="Porcs charcutiers", 'Porc (Effectif détaillé)'!$P$50, 0), 0)+                                                                                                                                                                                            IF('Feuille saisie commune'!$F$15="Fumière ( litière sciure fraiche )", IF('Feuille saisie commune'!$C$15="Truies et verrats", 'Porc (Effectif détaillé)'!$P$51, 0), 0)+IF('Feuille saisie commune'!$F$16="Fumière ( litière sciure fraiche )", IF('Feuille saisie commune'!$C$16="Truies et verrats", 'Porc (Effectif détaillé)'!$P$51, 0), 0)+IF('Feuille saisie commune'!$F$17="Fumière ( litière sciure fraiche )", IF('Feuille saisie commune'!$C$17="Truies et verrats", 'Porc (Effectif détaillé)'!$P$51, 0), 0)+IF('Feuille saisie commune'!$F$47="Fumière ( litière sciure fraiche )", IF('Feuille saisie commune'!$B$48="Truies et verrats", 'Porc (Effectif détaillé)'!$P$51, 0), 0)+                                                                                                                                                                                                                                               IF('Feuille saisie commune'!$F$15="Fumière ( litière sciure fraiche )", IF('Feuille saisie commune'!$C$15="Post-sevrage", 'Porc (Effectif détaillé)'!$P$49, 0), 0)+IF('Feuille saisie commune'!$F$16="Fumière ( litière sciure fraiche )", IF('Feuille saisie commune'!$C$16="Post-sevrage", 'Porc (Effectif détaillé)'!$P$49, 0), 0)+IF('Feuille saisie commune'!$F$17="Fumière ( litière sciure fraiche )", IF('Feuille saisie commune'!$C$17="Post-sevrage", 'Porc (Effectif détaillé)'!$P$49, 0), 0)+IF('Feuille saisie commune'!$F$47="Fumière ( litière sciure fraiche )", IF('Feuille saisie commune'!$B$48="Post-sevrage", 'Porc (Effectif détaillé)'!$P$49, 0), 0)</f>
        <v>0</v>
      </c>
      <c r="F221" s="164">
        <f>IF('Feuille saisie commune'!$F$15="Fumière ( litière sciure fraiche )", IF('Feuille saisie commune'!$C$15="Porcs charcutiers", 'Porc (Effectif détaillé)'!$J$51+'Porc (Effectif détaillé)'!$J$52+'Porc (Effectif détaillé)'!$J$54*0.6, 0), 0)+IF('Feuille saisie commune'!$F$16="Fumière ( litière sciure fraiche )", IF('Feuille saisie commune'!$C$16="Porcs charcutiers", 'Porc (Effectif détaillé)'!$J$51+'Porc (Effectif détaillé)'!$J$52+'Porc (Effectif détaillé)'!$J$54*0.6, 0), 0)+IF('Feuille saisie commune'!$F$17="Fumière ( litière sciure fraiche )", IF('Feuille saisie commune'!$C$17="Porcs charcutiers", 'Porc (Effectif détaillé)'!$J$51+'Porc (Effectif détaillé)'!$J$52+'Porc (Effectif détaillé)'!$J$54*0.6, 0), 0)+IF('Feuille saisie commune'!$F$47="Fumière ( litière sciure fraiche )", IF('Feuille saisie commune'!$B$48="Porcs charcutiers", 'Porc (Effectif détaillé)'!$J$51+'Porc (Effectif détaillé)'!$J$52+'Porc (Effectif détaillé)'!$J$54*0.6, 0), 0)+                                                                                                                                   IF('Feuille saisie commune'!$F$15="Fumière ( litière sciure fraiche )", IF('Feuille saisie commune'!$C$15="Truies et verrats", 'Porc (Effectif détaillé)'!$J$49+'Porc (Effectif détaillé)'!$J$53+'Porc (Effectif détaillé)'!$J$54*0.4, 0), 0)+IF('Feuille saisie commune'!$F$16="Fumière ( litière sciure fraiche )", IF('Feuille saisie commune'!$C$16="Truies et verrats", 'Porc (Effectif détaillé)'!$J$49+'Porc (Effectif détaillé)'!$J$53+'Porc (Effectif détaillé)'!$J$54*0.4, 0), 0)+IF('Feuille saisie commune'!$F$17="Fumière ( litière sciure fraiche )", IF('Feuille saisie commune'!$C$17="Truies et verrats", 'Porc (Effectif détaillé)'!$J$49+'Porc (Effectif détaillé)'!$J$53+'Porc (Effectif détaillé)'!$J$54*0.4, 0), 0)+IF('Feuille saisie commune'!$F$47="Fumière ( litière sciure fraiche )", IF('Feuille saisie commune'!$B$48="Truies et verrats", 'Porc (Effectif détaillé)'!$J$49+'Porc (Effectif détaillé)'!$J$53+'Porc (Effectif détaillé)'!$J$54*0.4, 0), 0)+                                                                                                                                                                                                              IF('Feuille saisie commune'!$F$15="Fumière ( litière sciure fraiche )", IF('Feuille saisie commune'!$C$15="Post-sevrage", 'Porc (Effectif détaillé)'!$J$50, 0), 0)+IF('Feuille saisie commune'!$F$16="Fumière ( litière sciure fraiche )", IF('Feuille saisie commune'!$C$16="Post-sevrage", 'Porc (Effectif détaillé)'!$J$50, 0), 0)+IF('Feuille saisie commune'!$F$17="Fumière ( litière sciure fraiche )", IF('Feuille saisie commune'!$C$17="Post-sevrage", 'Porc (Effectif détaillé)'!$J$50, 0), 0)+IF('Feuille saisie commune'!$F$47="Fumière ( litière sciure fraiche )", IF('Feuille saisie commune'!$B$48="Post-sevrage", 'Porc (Effectif détaillé)'!$J$50, 0), 0)</f>
        <v>0</v>
      </c>
      <c r="G221" s="152">
        <f t="shared" ref="G221:G225" si="9">F221+D221-C221-E221</f>
        <v>0</v>
      </c>
      <c r="H221" s="153" t="s">
        <v>599</v>
      </c>
      <c r="I221" s="112"/>
    </row>
    <row r="222" spans="2:9" x14ac:dyDescent="0.25">
      <c r="B222" s="148" t="s">
        <v>600</v>
      </c>
      <c r="C222" s="151">
        <f>IF('Feuille saisie commune'!$F$15="Fumière ( litière sciure fraiche )", IF('Feuille saisie commune'!$C$15="Porcs charcutiers", 'Porc (Effectif détaillé)'!$L$44, 0), 0)+IF('Feuille saisie commune'!$F$16="Fumière ( litière sciure fraiche )", IF('Feuille saisie commune'!$C$16="Porcs charcutiers", 'Porc (Effectif détaillé)'!$L$44, 0), 0)+IF('Feuille saisie commune'!$F$17="Fumière ( litière sciure fraiche )", IF('Feuille saisie commune'!$C$17="Porcs charcutiers", 'Porc (Effectif détaillé)'!$L$44, 0), 0)+IF('Feuille saisie commune'!$F$47="Fumière ( litière sciure fraiche )", IF('Feuille saisie commune'!$B$48="Porcs charcutiers", 'Porc (Effectif détaillé)'!$L$44, 0), 0)+                                                                                                                                                                                          IF('Feuille saisie commune'!$F$15="Fumière ( litière sciure fraiche )", IF('Feuille saisie commune'!$C$15="Truies et verrats", 'Porc (Effectif détaillé)'!$L$41+'Porc (Effectif détaillé)'!$L$42, 0), 0)+IF('Feuille saisie commune'!$F$16="Fumière ( litière sciure fraiche )", IF('Feuille saisie commune'!$C$16="Truies et verrats", 'Porc (Effectif détaillé)'!$L$41+'Porc (Effectif détaillé)'!$L$42, 0), 0)+IF('Feuille saisie commune'!$F$17="Fumière ( litière sciure fraiche )", IF('Feuille saisie commune'!$C$17="Truies et verrats", 'Porc (Effectif détaillé)'!$L$41+'Porc (Effectif détaillé)'!$L$42, 0), 0)+IF('Feuille saisie commune'!$F$47="Fumière ( litière sciure fraiche )", IF('Feuille saisie commune'!$B$48="Truies et verrats", 'Porc (Effectif détaillé)'!$L$41+'Porc (Effectif détaillé)'!$L$42, 0), 0)+                                                                                                       IF('Feuille saisie commune'!$F$15="Fumière ( litière sciure fraiche )", IF('Feuille saisie commune'!$C$15="Post-sevrage", 'Porc (Effectif détaillé)'!$L$43, 0), 0)+IF('Feuille saisie commune'!$F$16="Fumière ( litière sciure fraiche )", IF('Feuille saisie commune'!$C$16="Post-sevrage", 'Porc (Effectif détaillé)'!$L$43, 0), 0)+IF('Feuille saisie commune'!$F$17="Fumière ( litière sciure fraiche )", IF('Feuille saisie commune'!$C$17="Post-sevrage", 'Porc (Effectif détaillé)'!$L$43, 0), 0)+IF('Feuille saisie commune'!$F$47="Fumière ( litière sciure fraiche )", IF('Feuille saisie commune'!$B$48="Post-sevrage", 'Porc (Effectif détaillé)'!$L$43, 0), 0)</f>
        <v>0</v>
      </c>
      <c r="D222" s="151">
        <f>IF('Feuille saisie commune'!$F$15="Fumière ( litière sciure fraiche )", IF('Feuille saisie commune'!$C$15="Porcs charcutiers", 'Porc (Effectif détaillé)'!$M$44, 0), 0)+IF('Feuille saisie commune'!$F$16="Fumière ( litière sciure fraiche )", IF('Feuille saisie commune'!$C$16="Porcs charcutiers", 'Porc (Effectif détaillé)'!$M$44, 0), 0)+IF('Feuille saisie commune'!$F$17="Fumière ( litière sciure fraiche )", IF('Feuille saisie commune'!$C$17="Porcs charcutiers", 'Porc (Effectif détaillé)'!$M$44, 0), 0)+IF('Feuille saisie commune'!$F$47="Fumière ( litière sciure fraiche )", IF('Feuille saisie commune'!$B$48="Porcs charcutiers", 'Porc (Effectif détaillé)'!$M$44, 0), 0)+                                                                                                                                                                                       IF('Feuille saisie commune'!$F$15="Fumière ( litière sciure fraiche )", IF('Feuille saisie commune'!$C$15="Truies et verrats", 'Porc (Effectif détaillé)'!$M$41+'Porc (Effectif détaillé)'!$M$42, 0), 0)+IF('Feuille saisie commune'!$F$16="Fumière ( litière sciure fraiche )", IF('Feuille saisie commune'!$C$16="Truies et verrats", 'Porc (Effectif détaillé)'!$M$41+'Porc (Effectif détaillé)'!$M$42, 0), 0)+IF('Feuille saisie commune'!$F$17="Fumière ( litière sciure fraiche )", IF('Feuille saisie commune'!$C$17="Truies et verrats", 'Porc (Effectif détaillé)'!$M$41+'Porc (Effectif détaillé)'!$M$42, 0), 0)+IF('Feuille saisie commune'!$F$47="Fumière ( litière sciure fraiche )", IF('Feuille saisie commune'!$B$48="Truies et verrats", 'Porc (Effectif détaillé)'!$M$41+'Porc (Effectif détaillé)'!$M$42, 0), 0)+                                                                                                          IF('Feuille saisie commune'!$F$15="Fumière ( litière sciure fraiche )", IF('Feuille saisie commune'!$C$15="Post-sevrage", 'Porc (Effectif détaillé)'!$M$43, 0), 0)+IF('Feuille saisie commune'!$F$16="Fumière ( litière sciure fraiche )", IF('Feuille saisie commune'!$C$16="Post-sevrage", 'Porc (Effectif détaillé)'!$M$43, 0), 0)+IF('Feuille saisie commune'!$F$17="Fumière ( litière sciure fraiche )", IF('Feuille saisie commune'!$C$17="Post-sevrage", 'Porc (Effectif détaillé)'!$M$43, 0), 0)+IF('Feuille saisie commune'!$F$47="Fumière ( litière sciure fraiche )", IF('Feuille saisie commune'!$B$48="Post-sevrage", 'Porc (Effectif détaillé)'!$M$43, 0), 0)</f>
        <v>0</v>
      </c>
      <c r="E222" s="163">
        <f>IF('Feuille saisie commune'!$F$15="Fumière ( litière sciure fraiche )", IF('Feuille saisie commune'!$C$15="Porcs charcutiers", 'Porc (Effectif détaillé)'!$Q$50, 0), 0)+IF('Feuille saisie commune'!$F$16="Fumière ( litière sciure fraiche )", IF('Feuille saisie commune'!$C$16="Porcs charcutiers", 'Porc (Effectif détaillé)'!$Q$50, 0), 0)+IF('Feuille saisie commune'!$F$17="Fumière ( litière sciure fraiche )", IF('Feuille saisie commune'!$C$17="Porcs charcutiers", 'Porc (Effectif détaillé)'!$Q$50, 0), 0)+IF('Feuille saisie commune'!$F$47="Fumière ( litière sciure fraiche )", IF('Feuille saisie commune'!$B$48="Porcs charcutiers", 'Porc (Effectif détaillé)'!$Q$50, 0), 0)+                                                                                                                                                                                            IF('Feuille saisie commune'!$F$15="Fumière ( litière sciure fraiche )", IF('Feuille saisie commune'!$C$15="Truies et verrats", 'Porc (Effectif détaillé)'!$Q$51, 0), 0)+IF('Feuille saisie commune'!$F$16="Fumière ( litière sciure fraiche )", IF('Feuille saisie commune'!$C$16="Truies et verrats", 'Porc (Effectif détaillé)'!$Q$51, 0), 0)+IF('Feuille saisie commune'!$F$17="Fumière ( litière sciure fraiche )", IF('Feuille saisie commune'!$C$17="Truies et verrats", 'Porc (Effectif détaillé)'!$Q$51, 0), 0)+IF('Feuille saisie commune'!$F$47="Fumière ( litière sciure fraiche )", IF('Feuille saisie commune'!$B$48="Truies et verrats", 'Porc (Effectif détaillé)'!$Q$51, 0), 0)+                                                                                                                                                                                                                                               IF('Feuille saisie commune'!$F$15="Fumière ( litière sciure fraiche )", IF('Feuille saisie commune'!$C$15="Post-sevrage", 'Porc (Effectif détaillé)'!$Q$49, 0), 0)+IF('Feuille saisie commune'!$F$16="Fumière ( litière sciure fraiche )", IF('Feuille saisie commune'!$C$16="Post-sevrage", 'Porc (Effectif détaillé)'!$Q$49, 0), 0)+IF('Feuille saisie commune'!$F$17="Fumière ( litière sciure fraiche )", IF('Feuille saisie commune'!$C$17="Post-sevrage", 'Porc (Effectif détaillé)'!$Q$49, 0), 0)+IF('Feuille saisie commune'!$F$47="Fumière ( litière sciure fraiche )", IF('Feuille saisie commune'!$B$48="Post-sevrage", 'Porc (Effectif détaillé)'!$Q$49, 0), 0)</f>
        <v>0</v>
      </c>
      <c r="F222" s="164">
        <f>IF('Feuille saisie commune'!$F$15="Fumière ( litière sciure fraiche )", IF('Feuille saisie commune'!$C$15="Porcs charcutiers", 'Porc (Effectif détaillé)'!$K$51+'Porc (Effectif détaillé)'!$K$52+'Porc (Effectif détaillé)'!$K$54*0.6, 0), 0)+IF('Feuille saisie commune'!$F$16="Fumière ( litière sciure fraiche )", IF('Feuille saisie commune'!$C$16="Porcs charcutiers", 'Porc (Effectif détaillé)'!$K$51+'Porc (Effectif détaillé)'!$K$52+'Porc (Effectif détaillé)'!$K$54*0.6, 0), 0)+IF('Feuille saisie commune'!$F$17="Fumière ( litière sciure fraiche )", IF('Feuille saisie commune'!$C$17="Porcs charcutiers", 'Porc (Effectif détaillé)'!$K$51+'Porc (Effectif détaillé)'!$K$52+'Porc (Effectif détaillé)'!$K$54*0.6, 0), 0)+IF('Feuille saisie commune'!$F$47="Fumière ( litière sciure fraiche )", IF('Feuille saisie commune'!$B$48="Porcs charcutiers", 'Porc (Effectif détaillé)'!$K$51+'Porc (Effectif détaillé)'!$K$52+'Porc (Effectif détaillé)'!$K$54*0.6, 0), 0)+                                                                                                                                   IF('Feuille saisie commune'!$F$15="Fumière ( litière sciure fraiche )", IF('Feuille saisie commune'!$C$15="Truies et verrats", 'Porc (Effectif détaillé)'!$K$49+'Porc (Effectif détaillé)'!$K$53+'Porc (Effectif détaillé)'!$K$54*0.4, 0), 0)+IF('Feuille saisie commune'!$F$16="Fumière ( litière sciure fraiche )", IF('Feuille saisie commune'!$C$16="Truies et verrats", 'Porc (Effectif détaillé)'!$K$49+'Porc (Effectif détaillé)'!$K$53+'Porc (Effectif détaillé)'!$K$54*0.4, 0), 0)+IF('Feuille saisie commune'!$F$17="Fumière ( litière sciure fraiche )", IF('Feuille saisie commune'!$C$17="Truies et verrats", 'Porc (Effectif détaillé)'!$K$49+'Porc (Effectif détaillé)'!$K$53+'Porc (Effectif détaillé)'!$K$54*0.4, 0), 0)+IF('Feuille saisie commune'!$F$47="Fumière ( litière sciure fraiche )", IF('Feuille saisie commune'!$B$48="Truies et verrats", 'Porc (Effectif détaillé)'!$K$49+'Porc (Effectif détaillé)'!$K$53+'Porc (Effectif détaillé)'!$K$54*0.4, 0), 0)+                                                                                                                                                                                                              IF('Feuille saisie commune'!$F$15="Fumière ( litière sciure fraiche )", IF('Feuille saisie commune'!$C$15="Post-sevrage", 'Porc (Effectif détaillé)'!$K$50, 0), 0)+IF('Feuille saisie commune'!$F$16="Fumière ( litière sciure fraiche )", IF('Feuille saisie commune'!$C$16="Post-sevrage", 'Porc (Effectif détaillé)'!$K$50, 0), 0)+IF('Feuille saisie commune'!$F$17="Fumière ( litière sciure fraiche )", IF('Feuille saisie commune'!$C$17="Post-sevrage", 'Porc (Effectif détaillé)'!$K$50, 0), 0)+IF('Feuille saisie commune'!$F$47="Fumière ( litière sciure fraiche )", IF('Feuille saisie commune'!$B$48="Post-sevrage", 'Porc (Effectif détaillé)'!$K$50, 0), 0)</f>
        <v>0</v>
      </c>
      <c r="G222" s="152">
        <f t="shared" si="9"/>
        <v>0</v>
      </c>
      <c r="H222" s="153" t="s">
        <v>601</v>
      </c>
      <c r="I222" s="165"/>
    </row>
    <row r="223" spans="2:9" x14ac:dyDescent="0.25">
      <c r="B223" s="148" t="s">
        <v>594</v>
      </c>
      <c r="C223" s="151">
        <f>IF('Feuille saisie commune'!$F$15="Fumière ( litière sciure fraiche )", IF('Feuille saisie commune'!$C$15="Porcs charcutiers", 'Porc (Effectif détaillé)'!$N$44, 0), 0)+IF('Feuille saisie commune'!$F$16="Fumière ( litière sciure fraiche )", IF('Feuille saisie commune'!$C$16="Porcs charcutiers", 'Porc (Effectif détaillé)'!$N$44, 0), 0)+IF('Feuille saisie commune'!$F$17="Fumière ( litière sciure fraiche )", IF('Feuille saisie commune'!$C$17="Porcs charcutiers", 'Porc (Effectif détaillé)'!$N$44, 0), 0)+IF('Feuille saisie commune'!$F$47="Fumière ( litière sciure fraiche )", IF('Feuille saisie commune'!$B$48="Porcs charcutiers", 'Porc (Effectif détaillé)'!$N$44, 0), 0)+                                                                                                                                                                                      IF('Feuille saisie commune'!$F$15="Fumière ( litière sciure fraiche )", IF('Feuille saisie commune'!$C$15="Truies et verrats", 'Porc (Effectif détaillé)'!$N$41+'Porc (Effectif détaillé)'!$N$42, 0), 0)+IF('Feuille saisie commune'!$F$16="Fumière ( litière sciure fraiche )", IF('Feuille saisie commune'!$C$16="Truies et verrats", 'Porc (Effectif détaillé)'!$N$41+'Porc (Effectif détaillé)'!$N$42, 0), 0)+IF('Feuille saisie commune'!$F$17="Fumière ( litière sciure fraiche )", IF('Feuille saisie commune'!$C$17="Truies et verrats", 'Porc (Effectif détaillé)'!$N$41+'Porc (Effectif détaillé)'!$N$42, 0), 0)+IF('Feuille saisie commune'!$F$47="Fumière ( litière sciure fraiche )", IF('Feuille saisie commune'!$B$48="Truies et verrats", 'Porc (Effectif détaillé)'!$N$41+'Porc (Effectif détaillé)'!$N$42, 0), 0)+                                                                                                         IF('Feuille saisie commune'!$F$15="Fumière ( litière sciure fraiche )", IF('Feuille saisie commune'!$C$15="Post-sevrage", 'Porc (Effectif détaillé)'!$N$43, 0), 0)+IF('Feuille saisie commune'!$F$16="Fumière ( litière sciure fraiche )", IF('Feuille saisie commune'!$C$16="Post-sevrage", 'Porc (Effectif détaillé)'!$N$43, 0), 0)+IF('Feuille saisie commune'!$F$17="Fumière ( litière sciure fraiche )", IF('Feuille saisie commune'!$C$17="Post-sevrage", 'Porc (Effectif détaillé)'!$N$43, 0), 0)+IF('Feuille saisie commune'!$F$47="Fumière ( litière sciure fraiche )", IF('Feuille saisie commune'!$B$48="Post-sevrage", 'Porc (Effectif détaillé)'!$N$43, 0), 0)</f>
        <v>0</v>
      </c>
      <c r="D223" s="151">
        <f>IF('Feuille saisie commune'!$F$15="Fumière ( litière sciure fraiche )", IF('Feuille saisie commune'!$C$15="Porcs charcutiers", 'Porc (Effectif détaillé)'!$O$44, 0), 0)+IF('Feuille saisie commune'!$F$16="Fumière ( litière sciure fraiche )", IF('Feuille saisie commune'!$C$16="Porcs charcutiers", 'Porc (Effectif détaillé)'!$O$44, 0), 0)+IF('Feuille saisie commune'!$F$17="Fumière ( litière sciure fraiche )", IF('Feuille saisie commune'!$C$17="Porcs charcutiers", 'Porc (Effectif détaillé)'!$O$44, 0), 0)+IF('Feuille saisie commune'!$F$47="Fumière ( litière sciure fraiche )", IF('Feuille saisie commune'!$B$48="Porcs charcutiers", 'Porc (Effectif détaillé)'!$O$44, 0), 0)+                                                                                                                                                                                               IF('Feuille saisie commune'!$F$15="Fumière ( litière sciure fraiche )", IF('Feuille saisie commune'!$C$15="Truies et verrats", 'Porc (Effectif détaillé)'!$O$41+'Porc (Effectif détaillé)'!$O$42, 0), 0)+IF('Feuille saisie commune'!$F$16="Fumière ( litière sciure fraiche )", IF('Feuille saisie commune'!$C$16="Truies et verrats", 'Porc (Effectif détaillé)'!$O$41+'Porc (Effectif détaillé)'!$O$42, 0), 0)+IF('Feuille saisie commune'!$F$17="Fumière ( litière sciure fraiche )", IF('Feuille saisie commune'!$C$17="Truies et verrats", 'Porc (Effectif détaillé)'!$O$41+'Porc (Effectif détaillé)'!$O$42, 0), 0)+IF('Feuille saisie commune'!$F$47="Fumière ( litière sciure fraiche )", IF('Feuille saisie commune'!$B$48="Truies et verrats", 'Porc (Effectif détaillé)'!$O$41+'Porc (Effectif détaillé)'!$O$42, 0), 0)+                                                                                                                                                IF('Feuille saisie commune'!$F$15="Fumière ( litière sciure fraiche )", IF('Feuille saisie commune'!$C$15="Post-sevrage", 'Porc (Effectif détaillé)'!$O$43, 0), 0)+IF('Feuille saisie commune'!$F$16="Fumière ( litière sciure fraiche )", IF('Feuille saisie commune'!$C$16="Post-sevrage", 'Porc (Effectif détaillé)'!$O$43, 0), 0)+IF('Feuille saisie commune'!$F$17="Fumière ( litière sciure fraiche )", IF('Feuille saisie commune'!$C$17="Post-sevrage", 'Porc (Effectif détaillé)'!$O$43, 0), 0)+IF('Feuille saisie commune'!$F$47="Fumière ( litière sciure fraiche )", IF('Feuille saisie commune'!$B$48="Post-sevrage", 'Porc (Effectif détaillé)'!$O$43, 0), 0)</f>
        <v>0</v>
      </c>
      <c r="E223" s="163">
        <f>IF('Feuille saisie commune'!$F$15="Fumière ( litière sciure fraiche )", IF('Feuille saisie commune'!$C$15="Porcs charcutiers", 'Porc (Effectif détaillé)'!$R$50, 0), 0)+IF('Feuille saisie commune'!$F$16="Fumière ( litière sciure fraiche )", IF('Feuille saisie commune'!$C$16="Porcs charcutiers", 'Porc (Effectif détaillé)'!$R$50, 0), 0)+IF('Feuille saisie commune'!$F$17="Fumière ( litière sciure fraiche )", IF('Feuille saisie commune'!$C$17="Porcs charcutiers", 'Porc (Effectif détaillé)'!$R$50, 0), 0)+IF('Feuille saisie commune'!$F$47="Fumière ( litière sciure fraiche )", IF('Feuille saisie commune'!$B$48="Porcs charcutiers", 'Porc (Effectif détaillé)'!$R$50, 0), 0)+                                                                                                                                                                                            IF('Feuille saisie commune'!$F$15="Fumière ( litière sciure fraiche )", IF('Feuille saisie commune'!$C$15="Truies et verrats", 'Porc (Effectif détaillé)'!$R$51, 0), 0)+IF('Feuille saisie commune'!$F$16="Fumière ( litière sciure fraiche )", IF('Feuille saisie commune'!$C$16="Truies et verrats", 'Porc (Effectif détaillé)'!$R$51, 0), 0)+IF('Feuille saisie commune'!$F$17="Fumière ( litière sciure fraiche )", IF('Feuille saisie commune'!$C$17="Truies et verrats", 'Porc (Effectif détaillé)'!$R$51, 0), 0)+IF('Feuille saisie commune'!$F$47="Fumière ( litière sciure fraiche )", IF('Feuille saisie commune'!$B$48="Truies et verrats", 'Porc (Effectif détaillé)'!$R$51, 0), 0)+                                                                                                                                                                                                                                               IF('Feuille saisie commune'!$F$15="Fumière ( litière sciure fraiche )", IF('Feuille saisie commune'!$C$15="Post-sevrage", 'Porc (Effectif détaillé)'!$R$49, 0), 0)+IF('Feuille saisie commune'!$F$16="Fumière ( litière sciure fraiche )", IF('Feuille saisie commune'!$C$16="Post-sevrage", 'Porc (Effectif détaillé)'!$R$49, 0), 0)+IF('Feuille saisie commune'!$F$17="Fumière ( litière sciure fraiche )", IF('Feuille saisie commune'!$C$17="Post-sevrage", 'Porc (Effectif détaillé)'!$R$49, 0), 0)+IF('Feuille saisie commune'!$F$47="Fumière ( litière sciure fraiche )", IF('Feuille saisie commune'!$B$48="Post-sevrage", 'Porc (Effectif détaillé)'!$R$49, 0), 0)</f>
        <v>0</v>
      </c>
      <c r="F223" s="163">
        <f>IF('Feuille saisie commune'!$F$15="Fumière ( litière sciure fraiche )", IF('Feuille saisie commune'!$C$15="Porcs charcutiers", 'Porc (Effectif détaillé)'!$L$51+'Porc (Effectif détaillé)'!$L$52+'Porc (Effectif détaillé)'!$L$54*0.6, 0), 0)+IF('Feuille saisie commune'!$F$16="Fumière ( litière sciure fraiche )", IF('Feuille saisie commune'!$C$16="Porcs charcutiers", 'Porc (Effectif détaillé)'!$L$51+'Porc (Effectif détaillé)'!$L$52+'Porc (Effectif détaillé)'!$L$54*0.6, 0), 0)+IF('Feuille saisie commune'!$F$17="Fumière ( litière sciure fraiche )", IF('Feuille saisie commune'!$C$17="Porcs charcutiers", 'Porc (Effectif détaillé)'!$L$51+'Porc (Effectif détaillé)'!$L$52+'Porc (Effectif détaillé)'!$L$54*0.6, 0), 0)+IF('Feuille saisie commune'!$F$47="Fumière ( litière sciure fraiche )", IF('Feuille saisie commune'!$B$48="Porcs charcutiers", 'Porc (Effectif détaillé)'!$L$51+'Porc (Effectif détaillé)'!$L$52+'Porc (Effectif détaillé)'!$L$54*0.6, 0), 0)+                                                                                                                                   IF('Feuille saisie commune'!$F$15="Fumière ( litière sciure fraiche )", IF('Feuille saisie commune'!$C$15="Truies et verrats", 'Porc (Effectif détaillé)'!$L$49+'Porc (Effectif détaillé)'!$L$53+'Porc (Effectif détaillé)'!$L$54*0.4, 0), 0)+IF('Feuille saisie commune'!$F$16="Fumière ( litière sciure fraiche )", IF('Feuille saisie commune'!$C$16="Truies et verrats", 'Porc (Effectif détaillé)'!$L$49+'Porc (Effectif détaillé)'!$L$53+'Porc (Effectif détaillé)'!$L$54*0.4, 0), 0)+IF('Feuille saisie commune'!$F$17="Fumière ( litière sciure fraiche )", IF('Feuille saisie commune'!$C$17="Truies et verrats", 'Porc (Effectif détaillé)'!$I$49+'Porc (Effectif détaillé)'!$I$53+'Porc (Effectif détaillé)'!$I$54*0.4, 0), 0)+IF('Feuille saisie commune'!$F$47="Fumière ( litière sciure fraiche )", IF('Feuille saisie commune'!$B$48="Truies et verrats", 'Porc (Effectif détaillé)'!$L$49+'Porc (Effectif détaillé)'!$L$53+'Porc (Effectif détaillé)'!$L$54*0.4, 0), 0)+                                                                                                                                                                                                              IF('Feuille saisie commune'!$F$15="Fumière ( litière sciure fraiche )", IF('Feuille saisie commune'!$C$15="Post-sevrage", 'Porc (Effectif détaillé)'!$L$50, 0), 0)+IF('Feuille saisie commune'!$F$16="Fumière ( litière sciure fraiche )", IF('Feuille saisie commune'!$C$16="Post-sevrage", 'Porc (Effectif détaillé)'!$L$50, 0), 0)+IF('Feuille saisie commune'!$F$17="Fumière ( litière sciure fraiche )", IF('Feuille saisie commune'!$C$17="Post-sevrage", 'Porc (Effectif détaillé)'!$L$50, 0), 0)+IF('Feuille saisie commune'!$F$47="Fumière ( litière sciure fraiche )", IF('Feuille saisie commune'!$B$48="Post-sevrage", 'Porc (Effectif détaillé)'!$L$50, 0), 0)</f>
        <v>0</v>
      </c>
      <c r="G223" s="152">
        <f t="shared" si="9"/>
        <v>0</v>
      </c>
      <c r="H223" s="153" t="s">
        <v>602</v>
      </c>
      <c r="I223" s="112"/>
    </row>
    <row r="224" spans="2:9" x14ac:dyDescent="0.25">
      <c r="B224" s="148" t="s">
        <v>596</v>
      </c>
      <c r="C224" s="154">
        <f>IF('Feuille saisie commune'!$F$15="Fumière ( litière sciure fraiche )", IF('Feuille saisie commune'!$C$15="Porcs charcutiers", 'Porc (Effectif détaillé)'!$P$44, 0), 0)+IF('Feuille saisie commune'!$F$16="Fumière ( litière sciure fraiche )", IF('Feuille saisie commune'!$C$16="Porcs charcutiers", 'Porc (Effectif détaillé)'!$P$44, 0), 0)+IF('Feuille saisie commune'!$F$17="Fumière ( litière sciure fraiche )", IF('Feuille saisie commune'!$C$17="Porcs charcutiers", 'Porc (Effectif détaillé)'!$P$44, 0), 0)+IF('Feuille saisie commune'!$F$47="Fumière ( litière sciure fraiche )", IF('Feuille saisie commune'!$B$48="Porcs charcutiers", 'Porc (Effectif détaillé)'!$P$44, 0), 0)+                                                                                                                                                                                              IF('Feuille saisie commune'!$F$15="Fumière ( litière sciure fraiche )", IF('Feuille saisie commune'!$C$15="Truies et verrats", 'Porc (Effectif détaillé)'!$P$41+'Porc (Effectif détaillé)'!$P$42, 0), 0)+IF('Feuille saisie commune'!$F$16="Fumière ( litière sciure fraiche )", IF('Feuille saisie commune'!$C$16="Truies et verrats", 'Porc (Effectif détaillé)'!$P$41+'Porc (Effectif détaillé)'!$P$42, 0), 0)+IF('Feuille saisie commune'!$F$17="Fumière ( litière sciure fraiche )", IF('Feuille saisie commune'!$C$17="Truies et verrats", 'Porc (Effectif détaillé)'!$P$41+'Porc (Effectif détaillé)'!$P$42, 0), 0)+IF('Feuille saisie commune'!$F$47="Fumière ( litière sciure fraiche )", IF('Feuille saisie commune'!$B$48="Truies et verrats", 'Porc (Effectif détaillé)'!$P$41+'Porc (Effectif détaillé)'!$P$42, 0), 0)+                                                                                                            IF('Feuille saisie commune'!$F$15="Fumière ( litière sciure fraiche )", IF('Feuille saisie commune'!$C$15="Post-sevrage", 'Porc (Effectif détaillé)'!$P$43, 0), 0)+IF('Feuille saisie commune'!$F$16="Fumière ( litière sciure fraiche )", IF('Feuille saisie commune'!$C$16="Post-sevrage", 'Porc (Effectif détaillé)'!$P$43, 0), 0)+IF('Feuille saisie commune'!$F$17="Fumière ( litière sciure fraiche )", IF('Feuille saisie commune'!$C$17="Post-sevrage", 'Porc (Effectif détaillé)'!$P$43, 0), 0)+IF('Feuille saisie commune'!$F$47="Fumière ( litière sciure fraiche )", IF('Feuille saisie commune'!$B$48="Post-sevrage", 'Porc (Effectif détaillé)'!$P$43, 0), 0)</f>
        <v>0</v>
      </c>
      <c r="D224" s="154">
        <f>IF('Feuille saisie commune'!$F$15="Fumière ( litière sciure fraiche )", IF('Feuille saisie commune'!$C$15="Porcs charcutiers", 'Porc (Effectif détaillé)'!$Q$44, 0), 0)+IF('Feuille saisie commune'!$F$16="Fumière ( litière sciure fraiche )", IF('Feuille saisie commune'!$C$16="Porcs charcutiers", 'Porc (Effectif détaillé)'!$Q$44, 0), 0)+IF('Feuille saisie commune'!$F$17="Fumière ( litière sciure fraiche )", IF('Feuille saisie commune'!$C$17="Porcs charcutiers", 'Porc (Effectif détaillé)'!$Q$44, 0), 0)+IF('Feuille saisie commune'!$F$47="Fumière ( litière sciure fraiche )", IF('Feuille saisie commune'!$B$48="Porcs charcutiers", 'Porc (Effectif détaillé)'!$Q$44, 0), 0)+                                                                                                                                                                                              IF('Feuille saisie commune'!$F$15="Fumière ( litière sciure fraiche )", IF('Feuille saisie commune'!$C$15="Truies et verrats", 'Porc (Effectif détaillé)'!$Q$41+'Porc (Effectif détaillé)'!$Q$42, 0), 0)+IF('Feuille saisie commune'!$F$16="Fumière ( litière sciure fraiche )", IF('Feuille saisie commune'!$C$16="Truies et verrats", 'Porc (Effectif détaillé)'!$Q$41+'Porc (Effectif détaillé)'!$Q$42, 0), 0)+IF('Feuille saisie commune'!$F$17="Fumière ( litière sciure fraiche )", IF('Feuille saisie commune'!$C$17="Truies et verrats", 'Porc (Effectif détaillé)'!$Q$41+'Porc (Effectif détaillé)'!$Q$42, 0), 0)+IF('Feuille saisie commune'!$F$47="Fumière ( litière sciure fraiche )", IF('Feuille saisie commune'!$B$48="Truies et verrats", 'Porc (Effectif détaillé)'!$Q$41+'Porc (Effectif détaillé)'!$Q$42, 0), 0)+                                                                                                                                               IF('Feuille saisie commune'!$F$15="Fumière ( litière sciure fraiche )", IF('Feuille saisie commune'!$C$15="Post-sevrage", 'Porc (Effectif détaillé)'!$Q$43, 0), 0)+IF('Feuille saisie commune'!$F$16="Fumière ( litière sciure fraiche )", IF('Feuille saisie commune'!$C$16="Post-sevrage", 'Porc (Effectif détaillé)'!$Q$43, 0), 0)+IF('Feuille saisie commune'!$F$17="Fumière ( litière sciure fraiche )", IF('Feuille saisie commune'!$C$17="Post-sevrage", 'Porc (Effectif détaillé)'!$Q$43, 0), 0)+IF('Feuille saisie commune'!$F$47="Fumière ( litière sciure fraiche )", IF('Feuille saisie commune'!$B$48="Post-sevrage", 'Porc (Effectif détaillé)'!$Q$43, 0), 0)</f>
        <v>0</v>
      </c>
      <c r="E224" s="166">
        <f>IF('Feuille saisie commune'!$F$15="Fumière ( litière sciure fraiche )", IF('Feuille saisie commune'!$C$15="Porcs charcutiers", 'Porc (Effectif détaillé)'!$S$50, 0), 0)+IF('Feuille saisie commune'!$F$16="Fumière ( litière sciure fraiche )", IF('Feuille saisie commune'!$C$16="Porcs charcutiers", 'Porc (Effectif détaillé)'!$S$50, 0), 0)+IF('Feuille saisie commune'!$F$17="Fumière ( litière sciure fraiche )", IF('Feuille saisie commune'!$C$17="Porcs charcutiers", 'Porc (Effectif détaillé)'!$S$50, 0), 0)+IF('Feuille saisie commune'!$F$47="Fumière ( litière sciure fraiche )", IF('Feuille saisie commune'!$B$48="Porcs charcutiers", 'Porc (Effectif détaillé)'!$S$50, 0), 0)+                                                                                                                                                                                            IF('Feuille saisie commune'!$F$15="Fumière ( litière sciure fraiche )", IF('Feuille saisie commune'!$C$15="Truies et verrats", 'Porc (Effectif détaillé)'!$S$51, 0), 0)+IF('Feuille saisie commune'!$F$16="Fumière ( litière sciure fraiche )", IF('Feuille saisie commune'!$C$16="Truies et verrats", 'Porc (Effectif détaillé)'!$S$51, 0), 0)+IF('Feuille saisie commune'!$F$17="Fumière ( litière sciure fraiche )", IF('Feuille saisie commune'!$C$17="Truies et verrats", 'Porc (Effectif détaillé)'!$S$51, 0), 0)+IF('Feuille saisie commune'!$F$47="Fumière ( litière sciure fraiche )", IF('Feuille saisie commune'!$B$48="Truies et verrats", 'Porc (Effectif détaillé)'!$S$51, 0), 0)+                                                                                                                                                                                                                                               IF('Feuille saisie commune'!$F$15="Fumière ( litière sciure fraiche )", IF('Feuille saisie commune'!$C$15="Post-sevrage", 'Porc (Effectif détaillé)'!$S$49, 0), 0)+IF('Feuille saisie commune'!$F$16="Fumière ( litière sciure fraiche )", IF('Feuille saisie commune'!$C$16="Post-sevrage", 'Porc (Effectif détaillé)'!$S$49, 0), 0)+IF('Feuille saisie commune'!$F$17="Fumière ( litière sciure fraiche )", IF('Feuille saisie commune'!$C$17="Post-sevrage", 'Porc (Effectif détaillé)'!$S$49, 0), 0)+IF('Feuille saisie commune'!$F$47="Fumière ( litière sciure fraiche )", IF('Feuille saisie commune'!$B$48="Post-sevrage", 'Porc (Effectif détaillé)'!$S$49, 0), 0)</f>
        <v>0</v>
      </c>
      <c r="F224" s="166">
        <f>IF('Feuille saisie commune'!$F$15="Fumière ( litière sciure fraiche )", IF('Feuille saisie commune'!$C$15="Porcs charcutiers", 'Porc (Effectif détaillé)'!$M$51+'Porc (Effectif détaillé)'!$M$52+'Porc (Effectif détaillé)'!$M$54*0.6, 0), 0)+IF('Feuille saisie commune'!$F$16="Fumière ( litière sciure fraiche )", IF('Feuille saisie commune'!$C$16="Porcs charcutiers", 'Porc (Effectif détaillé)'!$M$51+'Porc (Effectif détaillé)'!$M$52+'Porc (Effectif détaillé)'!$M$54*0.6, 0), 0)+IF('Feuille saisie commune'!$F$17="Fumière ( litière sciure fraiche )", IF('Feuille saisie commune'!$C$17="Porcs charcutiers", 'Porc (Effectif détaillé)'!$M$51+'Porc (Effectif détaillé)'!$M$52+'Porc (Effectif détaillé)'!$M$54*0.6, 0), 0)+IF('Feuille saisie commune'!$F$47="Fumière ( litière sciure fraiche )", IF('Feuille saisie commune'!$B$48="Porcs charcutiers", 'Porc (Effectif détaillé)'!$M$51+'Porc (Effectif détaillé)'!$M$52+'Porc (Effectif détaillé)'!$M$54*0.6, 0), 0)+                                                                                                                                   IF('Feuille saisie commune'!$F$15="Fumière ( litière sciure fraiche )", IF('Feuille saisie commune'!$C$15="Truies et verrats", 'Porc (Effectif détaillé)'!$M$49+'Porc (Effectif détaillé)'!$M$53+'Porc (Effectif détaillé)'!$M$54*0.4, 0), 0)+IF('Feuille saisie commune'!$F$16="Fumière ( litière sciure fraiche )", IF('Feuille saisie commune'!$C$16="Truies et verrats", 'Porc (Effectif détaillé)'!$M$49+'Porc (Effectif détaillé)'!$M$53+'Porc (Effectif détaillé)'!$M$54*0.4, 0), 0)+IF('Feuille saisie commune'!$F$17="Fumière ( litière sciure fraiche )", IF('Feuille saisie commune'!$C$17="Truies et verrats", 'Porc (Effectif détaillé)'!$M$49+'Porc (Effectif détaillé)'!$M$53+'Porc (Effectif détaillé)'!$M$54*0.4, 0), 0)+IF('Feuille saisie commune'!$F$47="Fumière ( litière sciure fraiche )", IF('Feuille saisie commune'!$B$48="Truies et verrats", 'Porc (Effectif détaillé)'!$M$49+'Porc (Effectif détaillé)'!$M$53+'Porc (Effectif détaillé)'!$M$54*0.4, 0), 0)+                                                                                                                                                                                                              IF('Feuille saisie commune'!$F$15="Fumière ( litière sciure fraiche )", IF('Feuille saisie commune'!$C$15="Post-sevrage", 'Porc (Effectif détaillé)'!$M$50, 0), 0)+IF('Feuille saisie commune'!$F$16="Fumière ( litière sciure fraiche )", IF('Feuille saisie commune'!$C$16="Post-sevrage", 'Porc (Effectif détaillé)'!$M$50, 0), 0)+IF('Feuille saisie commune'!$F$17="Fumière ( litière sciure fraiche )", IF('Feuille saisie commune'!$C$17="Post-sevrage", 'Porc (Effectif détaillé)'!$M$50, 0), 0)+IF('Feuille saisie commune'!$F$47="Fumière ( litière sciure fraiche )", IF('Feuille saisie commune'!$B$48="Post-sevrage", 'Porc (Effectif détaillé)'!$M$50, 0), 0)</f>
        <v>0</v>
      </c>
      <c r="G224" s="152">
        <f t="shared" si="9"/>
        <v>0</v>
      </c>
      <c r="H224" s="153"/>
      <c r="I224" s="112"/>
    </row>
    <row r="225" spans="1:9" x14ac:dyDescent="0.25">
      <c r="B225" s="155" t="s">
        <v>597</v>
      </c>
      <c r="C225" s="156">
        <f>IF('Feuille saisie commune'!$F$15="Fumière ( litière sciure fraiche )", IF('Feuille saisie commune'!$C$15="Porcs charcutiers", 'Porc (Effectif détaillé)'!$R$44, 0), 0)+IF('Feuille saisie commune'!$F$16="Fumière ( litière sciure fraiche )", IF('Feuille saisie commune'!$C$16="Porcs charcutiers", 'Porc (Effectif détaillé)'!$R$44, 0), 0)+IF('Feuille saisie commune'!$F$17="Fumière ( litière sciure fraiche )", IF('Feuille saisie commune'!$C$17="Porcs charcutiers", 'Porc (Effectif détaillé)'!$R$44, 0), 0)+IF('Feuille saisie commune'!$F$47="Fumière ( litière sciure fraiche )", IF('Feuille saisie commune'!$B$48="Porcs charcutiers", 'Porc (Effectif détaillé)'!$R$44, 0), 0) +                                                                                                                                                                                            IF('Feuille saisie commune'!$F$15="Fumière ( litière sciure fraiche )", IF('Feuille saisie commune'!$C$15="Truies et verrats", 'Porc (Effectif détaillé)'!$R$41+'Porc (Effectif détaillé)'!$R$42, 0), 0)+IF('Feuille saisie commune'!$F$16="Fumière ( litière sciure fraiche )", IF('Feuille saisie commune'!$C$16="Truies et verrats", 'Porc (Effectif détaillé)'!$R$41+'Porc (Effectif détaillé)'!$R$42, 0), 0)+IF('Feuille saisie commune'!$F$17="Fumière ( litière sciure fraiche )", IF('Feuille saisie commune'!$C$17="Truies et verrats", 'Porc (Effectif détaillé)'!$R$41+'Porc (Effectif détaillé)'!$R$42, 0), 0)+IF('Feuille saisie commune'!$F$47="Fumière ( litière sciure fraiche )", IF('Feuille saisie commune'!$B$48="Truies et verrats", 'Porc (Effectif détaillé)'!$R$41+'Porc (Effectif détaillé)'!$R$42, 0), 0)+                                                                                                            IF('Feuille saisie commune'!$F$15="Fumière ( litière sciure fraiche )", IF('Feuille saisie commune'!$C$15="Post-sevrage", 'Porc (Effectif détaillé)'!$R$43, 0), 0)+IF('Feuille saisie commune'!$F$16="Fumière ( litière sciure fraiche )", IF('Feuille saisie commune'!$C$16="Post-sevrage", 'Porc (Effectif détaillé)'!$R$43, 0), 0)+IF('Feuille saisie commune'!$F$17="Fumière ( litière sciure fraiche )", IF('Feuille saisie commune'!$C$17="Post-sevrage", 'Porc (Effectif détaillé)'!$R$43, 0), 0)+IF('Feuille saisie commune'!$F$47="Fumière ( litière sciure fraiche )", IF('Feuille saisie commune'!$B$48="Post-sevrage", 'Porc (Effectif détaillé)'!$R$43, 0), 0)</f>
        <v>0</v>
      </c>
      <c r="D225" s="156">
        <f>IF('Feuille saisie commune'!$F$15="Fumière ( litière sciure fraiche )", IF('Feuille saisie commune'!$C$15="Porcs charcutiers", 'Porc (Effectif détaillé)'!$S$44, 0), 0)+IF('Feuille saisie commune'!$F$16="Fumière ( litière sciure fraiche )", IF('Feuille saisie commune'!$C$16="Porcs charcutiers", 'Porc (Effectif détaillé)'!$S$44, 0), 0)+IF('Feuille saisie commune'!$F$17="Fumière ( litière sciure fraiche )", IF('Feuille saisie commune'!$C$17="Porcs charcutiers", 'Porc (Effectif détaillé)'!$S$44, 0), 0)+IF('Feuille saisie commune'!$F$47="Fumière ( litière sciure fraiche )", IF('Feuille saisie commune'!$B$48="Porcs charcutiers", 'Porc (Effectif détaillé)'!$S$44, 0), 0)+                                                                                                                                                                                               IF('Feuille saisie commune'!$F$15="Fumière ( litière sciure fraiche )", IF('Feuille saisie commune'!$C$15="Truies et verrats", 'Porc (Effectif détaillé)'!$S$41+'Porc (Effectif détaillé)'!$S$42, 0), 0)+IF('Feuille saisie commune'!$F$16="Fumière ( litière sciure fraiche )", IF('Feuille saisie commune'!$C$16="Truies et verrats", 'Porc (Effectif détaillé)'!$S$41+'Porc (Effectif détaillé)'!$S$42, 0), 0)+IF('Feuille saisie commune'!$F$17="Fumière ( litière sciure fraiche )", IF('Feuille saisie commune'!$C$17="Truies et verrats", 'Porc (Effectif détaillé)'!$S$41+'Porc (Effectif détaillé)'!$S$42, 0), 0)+IF('Feuille saisie commune'!$F$47="Fumière ( litière sciure fraiche )", IF('Feuille saisie commune'!$B$48="Truies et verrats", 'Porc (Effectif détaillé)'!$S$41+'Porc (Effectif détaillé)'!$S$42, 0), 0)+                                                                                                           IF('Feuille saisie commune'!$F$15="Fumière ( litière sciure fraiche )", IF('Feuille saisie commune'!$C$15="Post-sevrage", 'Porc (Effectif détaillé)'!$S$43, 0), 0)+IF('Feuille saisie commune'!$F$16="Fumière ( litière sciure fraiche )", IF('Feuille saisie commune'!$C$16="Post-sevrage", 'Porc (Effectif détaillé)'!$S$43, 0), 0)+IF('Feuille saisie commune'!$F$17="Fumière ( litière sciure fraiche )", IF('Feuille saisie commune'!$C$17="Post-sevrage", 'Porc (Effectif détaillé)'!$S$43, 0), 0)+IF('Feuille saisie commune'!$F$47="Fumière ( litière sciure fraiche )", IF('Feuille saisie commune'!$B$48="Post-sevrage", 'Porc (Effectif détaillé)'!$S$43, 0), 0)</f>
        <v>0</v>
      </c>
      <c r="E225" s="167">
        <f>IF('Feuille saisie commune'!$F$15="Fumière ( litière sciure fraiche )", IF('Feuille saisie commune'!$C$15="Porcs charcutiers", 'Porc (Effectif détaillé)'!$T$50, 0), 0)+IF('Feuille saisie commune'!$F$16="Fumière ( litière sciure fraiche )", IF('Feuille saisie commune'!$C$16="Porcs charcutiers", 'Porc (Effectif détaillé)'!$T$50, 0), 0)+IF('Feuille saisie commune'!$F$17="Fumière ( litière sciure fraiche )", IF('Feuille saisie commune'!$C$17="Porcs charcutiers", 'Porc (Effectif détaillé)'!$T$50, 0), 0)+IF('Feuille saisie commune'!$F$47="Fumière ( litière sciure fraiche )", IF('Feuille saisie commune'!$B$48="Porcs charcutiers", 'Porc (Effectif détaillé)'!$T$50, 0), 0)+                                                                                                                                                                                            IF('Feuille saisie commune'!$F$15="Fumière ( litière sciure fraiche )", IF('Feuille saisie commune'!$C$15="Truies et verrats", 'Porc (Effectif détaillé)'!$T$51, 0), 0)+IF('Feuille saisie commune'!$F$16="Fumière ( litière sciure fraiche )", IF('Feuille saisie commune'!$C$16="Truies et verrats", 'Porc (Effectif détaillé)'!$T$51, 0), 0)+IF('Feuille saisie commune'!$F$17="Fumière ( litière sciure fraiche )", IF('Feuille saisie commune'!$C$17="Truies et verrats", 'Porc (Effectif détaillé)'!$T$51, 0), 0)+IF('Feuille saisie commune'!$F$47="Fumière ( litière sciure fraiche )", IF('Feuille saisie commune'!$B$48="Truies et verrats", 'Porc (Effectif détaillé)'!$T$51, 0), 0)+                                                                                                                                                                                                                                               IF('Feuille saisie commune'!$F$15="Fumière ( litière sciure fraiche )", IF('Feuille saisie commune'!$C$15="Post-sevrage", 'Porc (Effectif détaillé)'!$T$49, 0), 0)+IF('Feuille saisie commune'!$F$16="Fumière ( litière sciure fraiche )", IF('Feuille saisie commune'!$C$16="Post-sevrage", 'Porc (Effectif détaillé)'!$T$49, 0), 0)+IF('Feuille saisie commune'!$F$17="Fumière ( litière sciure fraiche )", IF('Feuille saisie commune'!$C$17="Post-sevrage", 'Porc (Effectif détaillé)'!$T$49, 0), 0)+IF('Feuille saisie commune'!$F$47="Fumière ( litière sciure fraiche )", IF('Feuille saisie commune'!$B$48="Post-sevrage", 'Porc (Effectif détaillé)'!$T$49, 0), 0)</f>
        <v>0</v>
      </c>
      <c r="F225" s="167">
        <f>IF('Feuille saisie commune'!$F$15="Fumière ( litière sciure fraiche )", IF('Feuille saisie commune'!$C$15="Porcs charcutiers", 'Porc (Effectif détaillé)'!$N$51+'Porc (Effectif détaillé)'!$N$52+'Porc (Effectif détaillé)'!$N$54*0.6, 0), 0)+IF('Feuille saisie commune'!$F$16="Fumière ( litière sciure fraiche )", IF('Feuille saisie commune'!$C$16="Porcs charcutiers", 'Porc (Effectif détaillé)'!$N$51+'Porc (Effectif détaillé)'!$N$52+'Porc (Effectif détaillé)'!$N$54*0.6, 0), 0)+IF('Feuille saisie commune'!$F$17="Fumière ( litière sciure fraiche )", IF('Feuille saisie commune'!$C$17="Porcs charcutiers", 'Porc (Effectif détaillé)'!$N$51+'Porc (Effectif détaillé)'!$N$52+'Porc (Effectif détaillé)'!$N$54*0.6, 0), 0)+IF('Feuille saisie commune'!$F$47="Fumière ( litière sciure fraiche )", IF('Feuille saisie commune'!$B$48="Porcs charcutiers", 'Porc (Effectif détaillé)'!$N$51+'Porc (Effectif détaillé)'!$N$52+'Porc (Effectif détaillé)'!$N$54*0.6, 0), 0)+                                                                                                                                   IF('Feuille saisie commune'!$F$15="Fumière ( litière sciure fraiche )", IF('Feuille saisie commune'!$C$15="Truies et verrats", 'Porc (Effectif détaillé)'!$N$49+'Porc (Effectif détaillé)'!$N$53+'Porc (Effectif détaillé)'!$N$54*0.4, 0), 0)+IF('Feuille saisie commune'!$F$16="Fumière ( litière sciure fraiche )", IF('Feuille saisie commune'!$C$16="Truies et verrats", 'Porc (Effectif détaillé)'!$N$49+'Porc (Effectif détaillé)'!$N$53+'Porc (Effectif détaillé)'!$N$54*0.4, 0), 0)+IF('Feuille saisie commune'!$F$17="Fumière ( litière sciure fraiche )", IF('Feuille saisie commune'!$C$17="Truies et verrats", 'Porc (Effectif détaillé)'!$N$49+'Porc (Effectif détaillé)'!$N$53+'Porc (Effectif détaillé)'!$N$54*0.4, 0), 0)+IF('Feuille saisie commune'!$F$47="Fumière ( litière sciure fraiche )", IF('Feuille saisie commune'!$B$48="Truies et verrats", 'Porc (Effectif détaillé)'!$N$49+'Porc (Effectif détaillé)'!$N$53+'Porc (Effectif détaillé)'!$N$54*0.4, 0), 0)+                                                                                                                                                                                                              IF('Feuille saisie commune'!$F$15="Fumière ( litière sciure fraiche )", IF('Feuille saisie commune'!$C$15="Post-sevrage", 'Porc (Effectif détaillé)'!$N$50, 0), 0)+IF('Feuille saisie commune'!$F$16="Fumière ( litière sciure fraiche )", IF('Feuille saisie commune'!$C$16="Post-sevrage", 'Porc (Effectif détaillé)'!$N$50, 0), 0)+IF('Feuille saisie commune'!$F$17="Fumière ( litière sciure fraiche )", IF('Feuille saisie commune'!$C$17="Post-sevrage", 'Porc (Effectif détaillé)'!$N$50, 0), 0)+IF('Feuille saisie commune'!$F$47="Fumière ( litière sciure fraiche )", IF('Feuille saisie commune'!$B$48="Post-sevrage", 'Porc (Effectif détaillé)'!$N$50, 0), 0)</f>
        <v>0</v>
      </c>
      <c r="G225" s="170">
        <f t="shared" si="9"/>
        <v>0</v>
      </c>
      <c r="H225" s="158"/>
      <c r="I225" s="12"/>
    </row>
    <row r="226" spans="1:9" x14ac:dyDescent="0.25">
      <c r="B226" s="147" t="s">
        <v>603</v>
      </c>
      <c r="C226" s="148"/>
      <c r="D226" s="148"/>
      <c r="E226" s="160"/>
      <c r="F226" s="148"/>
      <c r="G226" s="149"/>
      <c r="H226" s="150"/>
      <c r="I226" s="12"/>
    </row>
    <row r="227" spans="1:9" x14ac:dyDescent="0.25">
      <c r="B227" s="148" t="s">
        <v>666</v>
      </c>
      <c r="C227" s="110" t="s">
        <v>50</v>
      </c>
      <c r="D227" s="110" t="s">
        <v>50</v>
      </c>
      <c r="E227" s="151">
        <f>IF('Feuille saisie commune'!$F$15="Fumière ( litière sciure fraiche )", 'Feuille saisie commune'!$G$15,0)+IF('Feuille saisie commune'!$F$16="Fumière ( litière sciure fraiche )",'Feuille saisie commune'!$G$16,0)+IF('Feuille saisie commune'!$F$17="Fumière ( litière sciure fraiche )",'Feuille saisie commune'!$G$17,0)+IF('Feuille saisie commune'!$F$47="Fumière ( litière sciure fraiche )",'Feuille saisie commune'!$G$44,0)</f>
        <v>0</v>
      </c>
      <c r="F227" s="110" t="s">
        <v>50</v>
      </c>
      <c r="G227" s="152">
        <f>+E227</f>
        <v>0</v>
      </c>
      <c r="H227" s="150"/>
      <c r="I227" s="12"/>
    </row>
    <row r="228" spans="1:9" x14ac:dyDescent="0.25">
      <c r="B228" s="148" t="s">
        <v>590</v>
      </c>
      <c r="C228" s="110" t="s">
        <v>50</v>
      </c>
      <c r="D228" s="110" t="s">
        <v>50</v>
      </c>
      <c r="E228" s="151">
        <f>E227*$D$4*10</f>
        <v>0</v>
      </c>
      <c r="F228" s="110" t="s">
        <v>50</v>
      </c>
      <c r="G228" s="152">
        <f>+E228</f>
        <v>0</v>
      </c>
      <c r="H228" s="153" t="s">
        <v>591</v>
      </c>
      <c r="I228" s="12"/>
    </row>
    <row r="229" spans="1:9" x14ac:dyDescent="0.25">
      <c r="B229" s="148" t="s">
        <v>592</v>
      </c>
      <c r="C229" s="110" t="s">
        <v>50</v>
      </c>
      <c r="D229" s="110" t="s">
        <v>50</v>
      </c>
      <c r="E229" s="151">
        <f>E227*$E$4*10</f>
        <v>0</v>
      </c>
      <c r="F229" s="110" t="s">
        <v>50</v>
      </c>
      <c r="G229" s="152">
        <f>+E229</f>
        <v>0</v>
      </c>
      <c r="H229" s="153" t="s">
        <v>593</v>
      </c>
      <c r="I229" s="12"/>
    </row>
    <row r="230" spans="1:9" x14ac:dyDescent="0.25">
      <c r="B230" s="155" t="s">
        <v>594</v>
      </c>
      <c r="C230" s="168" t="s">
        <v>50</v>
      </c>
      <c r="D230" s="168" t="s">
        <v>50</v>
      </c>
      <c r="E230" s="169">
        <f>E227*$F$4*10</f>
        <v>0</v>
      </c>
      <c r="F230" s="168" t="s">
        <v>50</v>
      </c>
      <c r="G230" s="170">
        <f>+E230</f>
        <v>0</v>
      </c>
      <c r="H230" s="158" t="s">
        <v>595</v>
      </c>
      <c r="I230" s="12"/>
    </row>
    <row r="231" spans="1:9" x14ac:dyDescent="0.25">
      <c r="C231" s="12"/>
      <c r="D231" s="12"/>
      <c r="E231" s="12"/>
      <c r="F231" s="12"/>
      <c r="G231" s="12"/>
      <c r="H231" s="12"/>
      <c r="I231" s="12"/>
    </row>
    <row r="235" spans="1:9" x14ac:dyDescent="0.25">
      <c r="A235" s="186" t="s">
        <v>663</v>
      </c>
    </row>
    <row r="236" spans="1:9" x14ac:dyDescent="0.25">
      <c r="B236" s="99"/>
      <c r="C236" s="111"/>
      <c r="D236" s="111"/>
      <c r="E236" s="112"/>
      <c r="F236" s="112"/>
      <c r="G236" s="1143" t="s">
        <v>564</v>
      </c>
      <c r="H236" s="1144"/>
      <c r="I236" s="12"/>
    </row>
    <row r="237" spans="1:9" x14ac:dyDescent="0.25">
      <c r="B237" s="208"/>
      <c r="C237" s="111"/>
      <c r="D237" s="111"/>
      <c r="E237" s="116"/>
      <c r="F237" s="117"/>
      <c r="G237" s="1145" t="s">
        <v>565</v>
      </c>
      <c r="H237" s="1146"/>
      <c r="I237" s="12"/>
    </row>
    <row r="238" spans="1:9" x14ac:dyDescent="0.25">
      <c r="B238" s="99"/>
      <c r="C238" s="111"/>
      <c r="D238" s="111"/>
      <c r="E238" s="118" t="s">
        <v>930</v>
      </c>
      <c r="F238" s="118"/>
      <c r="G238" s="1147">
        <f>K334</f>
        <v>72</v>
      </c>
      <c r="H238" s="1148"/>
      <c r="I238" s="12"/>
    </row>
    <row r="239" spans="1:9" x14ac:dyDescent="0.25">
      <c r="B239" s="99"/>
      <c r="C239" s="111"/>
      <c r="D239" s="111"/>
      <c r="E239" s="114"/>
      <c r="F239" s="114"/>
      <c r="G239" s="184"/>
      <c r="H239" s="184"/>
      <c r="I239" s="185"/>
    </row>
    <row r="240" spans="1:9" x14ac:dyDescent="0.25">
      <c r="B240" s="100"/>
      <c r="C240" s="111"/>
      <c r="D240" s="111"/>
      <c r="E240" s="111"/>
      <c r="F240" s="111"/>
      <c r="G240" s="111"/>
      <c r="H240" s="111"/>
      <c r="I240" s="112"/>
    </row>
    <row r="241" spans="2:9" x14ac:dyDescent="0.25">
      <c r="B241" s="100"/>
      <c r="C241" s="111"/>
      <c r="D241" s="111"/>
      <c r="E241" s="111"/>
      <c r="F241" s="111"/>
      <c r="G241" s="111"/>
      <c r="H241" s="111"/>
      <c r="I241" s="112"/>
    </row>
    <row r="242" spans="2:9" x14ac:dyDescent="0.25">
      <c r="B242" s="101" t="s">
        <v>566</v>
      </c>
      <c r="C242" s="119" t="s">
        <v>567</v>
      </c>
      <c r="D242" s="1149" t="s">
        <v>568</v>
      </c>
      <c r="E242" s="1150"/>
      <c r="F242" s="1149" t="s">
        <v>569</v>
      </c>
      <c r="G242" s="1150"/>
      <c r="H242" s="119" t="s">
        <v>570</v>
      </c>
      <c r="I242" s="120" t="s">
        <v>571</v>
      </c>
    </row>
    <row r="243" spans="2:9" x14ac:dyDescent="0.25">
      <c r="B243" s="121"/>
      <c r="C243" s="122" t="s">
        <v>17</v>
      </c>
      <c r="D243" s="217" t="s">
        <v>560</v>
      </c>
      <c r="E243" s="218" t="s">
        <v>572</v>
      </c>
      <c r="F243" s="217" t="s">
        <v>561</v>
      </c>
      <c r="G243" s="218" t="s">
        <v>573</v>
      </c>
      <c r="H243" s="122" t="s">
        <v>17</v>
      </c>
      <c r="I243" s="218" t="s">
        <v>17</v>
      </c>
    </row>
    <row r="244" spans="2:9" x14ac:dyDescent="0.25">
      <c r="B244" s="125" t="s">
        <v>574</v>
      </c>
      <c r="C244" s="126">
        <f>G256</f>
        <v>0</v>
      </c>
      <c r="D244" s="127">
        <f>G257</f>
        <v>0</v>
      </c>
      <c r="E244" s="128" t="s">
        <v>50</v>
      </c>
      <c r="F244" s="126">
        <f>G258</f>
        <v>0</v>
      </c>
      <c r="G244" s="129" t="s">
        <v>50</v>
      </c>
      <c r="H244" s="130" t="str">
        <f>IF(G259&gt;0,G259,"-")</f>
        <v>-</v>
      </c>
      <c r="I244" s="131" t="str">
        <f>IF(G260&gt;0,G260,"-")</f>
        <v>-</v>
      </c>
    </row>
    <row r="245" spans="2:9" x14ac:dyDescent="0.25">
      <c r="B245" s="132" t="s">
        <v>575</v>
      </c>
      <c r="C245" s="133">
        <f>E270</f>
        <v>0</v>
      </c>
      <c r="D245" s="134">
        <f>E271</f>
        <v>0</v>
      </c>
      <c r="E245" s="135"/>
      <c r="F245" s="133">
        <f>E272</f>
        <v>0</v>
      </c>
      <c r="G245" s="136" t="s">
        <v>50</v>
      </c>
      <c r="H245" s="136" t="s">
        <v>50</v>
      </c>
      <c r="I245" s="136" t="s">
        <v>50</v>
      </c>
    </row>
    <row r="246" spans="2:9" x14ac:dyDescent="0.25">
      <c r="B246" s="132" t="s">
        <v>576</v>
      </c>
      <c r="C246" s="133">
        <f>D263-C263</f>
        <v>0</v>
      </c>
      <c r="D246" s="134">
        <f>D264-C264</f>
        <v>0</v>
      </c>
      <c r="E246" s="135" t="s">
        <v>50</v>
      </c>
      <c r="F246" s="133">
        <f>D265-C265</f>
        <v>0</v>
      </c>
      <c r="G246" s="136" t="s">
        <v>50</v>
      </c>
      <c r="H246" s="130" t="str">
        <f>IF(H244&lt;&gt;"-",D266-C266,H244)</f>
        <v>-</v>
      </c>
      <c r="I246" s="131" t="str">
        <f>IF(I244&lt;&gt;"-",D267-C267,I244)</f>
        <v>-</v>
      </c>
    </row>
    <row r="247" spans="2:9" x14ac:dyDescent="0.25">
      <c r="B247" s="132" t="s">
        <v>577</v>
      </c>
      <c r="C247" s="133">
        <f>F263-E263</f>
        <v>0</v>
      </c>
      <c r="D247" s="134">
        <f>F264-E264</f>
        <v>0</v>
      </c>
      <c r="E247" s="135" t="s">
        <v>50</v>
      </c>
      <c r="F247" s="133">
        <f>F265-E265</f>
        <v>0</v>
      </c>
      <c r="G247" s="136" t="s">
        <v>50</v>
      </c>
      <c r="H247" s="137" t="str">
        <f>IF(H244&lt;&gt;"-",F266-E266,H244)</f>
        <v>-</v>
      </c>
      <c r="I247" s="138" t="str">
        <f>IF(I244&lt;&gt;"-",F267-E267,I244)</f>
        <v>-</v>
      </c>
    </row>
    <row r="248" spans="2:9" x14ac:dyDescent="0.25">
      <c r="B248" s="132" t="s">
        <v>578</v>
      </c>
      <c r="C248" s="133">
        <f>C244-C246-C247</f>
        <v>0</v>
      </c>
      <c r="D248" s="134">
        <f>D244-D246-D247</f>
        <v>0</v>
      </c>
      <c r="E248" s="139">
        <f>(30.97376*2+15.9994*5)/(30.97376*2)*D248</f>
        <v>0</v>
      </c>
      <c r="F248" s="134">
        <f>F244-F246-F247</f>
        <v>0</v>
      </c>
      <c r="G248" s="139">
        <f>+F248*1.2</f>
        <v>0</v>
      </c>
      <c r="H248" s="130" t="str">
        <f>IF(H244&lt;&gt;"-",H244-H246-H247,H244)</f>
        <v>-</v>
      </c>
      <c r="I248" s="140" t="str">
        <f>IF(I244&lt;&gt;"-",I244-I246-I247,I244)</f>
        <v>-</v>
      </c>
    </row>
    <row r="249" spans="2:9" x14ac:dyDescent="0.25">
      <c r="B249" s="141" t="s">
        <v>579</v>
      </c>
      <c r="C249" s="142">
        <f>C248*G238/100</f>
        <v>0</v>
      </c>
      <c r="D249" s="134" t="s">
        <v>580</v>
      </c>
      <c r="E249" s="143" t="s">
        <v>580</v>
      </c>
      <c r="F249" s="134" t="s">
        <v>580</v>
      </c>
      <c r="G249" s="143" t="s">
        <v>580</v>
      </c>
      <c r="H249" s="130" t="s">
        <v>580</v>
      </c>
      <c r="I249" s="130" t="s">
        <v>580</v>
      </c>
    </row>
    <row r="250" spans="2:9" x14ac:dyDescent="0.25">
      <c r="B250" s="144" t="s">
        <v>581</v>
      </c>
      <c r="C250" s="187">
        <f>IF('Porc (Aliments)'!$E$2="Méthode du BRS",C248+C245-C249,0)+ IF('Porc (Aliments)'!$E$2="Alimentation standard",'Porc (Effectif détaillé)'!X65,0)+IF('Porc (Aliments)'!$E$2="Alimentation biphase",'Porc (Effectif détaillé)'!X72,0)</f>
        <v>0</v>
      </c>
      <c r="D250" s="145">
        <f>D244+D245-D246-D247</f>
        <v>0</v>
      </c>
      <c r="E250" s="188">
        <f>IF('Porc (Aliments)'!$E$2="Méthode du BRS",(30.97376*2+15.9994*5)/(30.97376*2)*D250,0)+IF('Porc (Aliments)'!$E$2="Alimentation standard",'Porc (Effectif détaillé)'!Y65,0)+IF('Porc (Aliments)'!$E$2="Alimentation biphase",'Porc (Effectif détaillé)'!Y72,0)</f>
        <v>0</v>
      </c>
      <c r="F250" s="145">
        <f>F244+F245-F246-F247</f>
        <v>0</v>
      </c>
      <c r="G250" s="189">
        <f>IF('Porc (Aliments)'!$E$2="Méthode du BRS",F250*1.2,0)+IF('Porc (Aliments)'!$E$2="Alimentation standard",'Porc (Effectif détaillé)'!Z65,0)+IF('Porc (Aliments)'!$E$2="Alimentation biphase",'Porc (Effectif détaillé)'!Z72,0)</f>
        <v>0</v>
      </c>
      <c r="H250" s="190">
        <f>IF('Porc (Aliments)'!$E$2="Méthode du BRS",H248,(IF(Param_porcs!$G$16=61,('Porc (Effectif détaillé)'!$D$41+'Porc (Effectif détaillé)'!$C$41+'Porc (Effectif détaillé)'!$C$42+'Porc (Effectif détaillé)'!$D$42)/2*18.24,0)+IF(Param_porcs!$G$16=62,('Porc (Effectif détaillé)'!$D$44-'Porc (Effectif détaillé)'!$C$44+'Porc (Effectif détaillé)'!$C$51+'Porc (Effectif détaillé)'!$C$52)*4.17,0)+IF(Param_porcs!$G$16=63,('Porc (Effectif détaillé)'!$D$43-'Porc (Effectif détaillé)'!$C$43+'Porc (Effectif détaillé)'!$C$50+'Porc (Effectif détaillé)'!$C$51+'Porc (Effectif détaillé)'!$C$52)*6.04,0)+IF(Param_porcs!$G$17=61,('Porc (Effectif détaillé)'!$D$41+'Porc (Effectif détaillé)'!$C$41+'Porc (Effectif détaillé)'!$C$42+'Porc (Effectif détaillé)'!$D$42)/2*18.24,0)+IF(Param_porcs!$G$17=62,('Porc (Effectif détaillé)'!$D$44-'Porc (Effectif détaillé)'!$C$44+'Porc (Effectif détaillé)'!$C$51+'Porc (Effectif détaillé)'!$C$52)*4.17,0)+IF(Param_porcs!$G$17=63,('Porc (Effectif détaillé)'!$D$43-'Porc (Effectif détaillé)'!$C$43+'Porc (Effectif détaillé)'!$C$50+'Porc (Effectif détaillé)'!$C$51+'Porc (Effectif détaillé)'!$C$52)*6.04,0)+IF(Param_porcs!$G$18=61,('Porc (Effectif détaillé)'!$D$41+'Porc (Effectif détaillé)'!$C$41+'Porc (Effectif détaillé)'!$C$42+'Porc (Effectif détaillé)'!$D$42)/2*18.24,0)+IF(Param_porcs!$G$18=62,('Porc (Effectif détaillé)'!$D$44-'Porc (Effectif détaillé)'!$C$44+'Porc (Effectif détaillé)'!$C$51+'Porc (Effectif détaillé)'!$C$52)*4.17,0)+IF(Param_porcs!$G$18=63,('Porc (Effectif détaillé)'!$D$43-'Porc (Effectif détaillé)'!$C$43+'Porc (Effectif détaillé)'!$C$50+'Porc (Effectif détaillé)'!$C$51+'Porc (Effectif détaillé)'!$C$52)*6.04,0)+IF(Param_porcs!$G$19=61,('Porc (Effectif détaillé)'!$D$41+'Porc (Effectif détaillé)'!$C$41+'Porc (Effectif détaillé)'!$C$42+'Porc (Effectif détaillé)'!$D$42)/2*18.24,0)+IF(Param_porcs!$G$19=62,('Porc (Effectif détaillé)'!$D$44-'Porc (Effectif détaillé)'!$C$44+'Porc (Effectif détaillé)'!$C$51+'Porc (Effectif détaillé)'!$C$52)*4.17,0)+IF(Param_porcs!$G$19=63,('Porc (Effectif détaillé)'!$D$43-'Porc (Effectif détaillé)'!$C$43+'Porc (Effectif détaillé)'!$C$50+'Porc (Effectif détaillé)'!$C$51+'Porc (Effectif détaillé)'!$C$52)*6.04,0))/1000)</f>
        <v>0</v>
      </c>
      <c r="I250" s="191">
        <f>IF('Porc (Aliments)'!$E$2="Méthode du BRS",I248,(IF(Param_porcs!$G$16=61,('Porc (Effectif détaillé)'!$D$41+'Porc (Effectif détaillé)'!$C$41+'Porc (Effectif détaillé)'!$C$42+'Porc (Effectif détaillé)'!$D$42)/2*138,0)+IF(Param_porcs!$G$16=62,('Porc (Effectif détaillé)'!$D$44-'Porc (Effectif détaillé)'!$C$44+'Porc (Effectif détaillé)'!$C$51+'Porc (Effectif détaillé)'!$C$52)*22.42,0)+IF(Param_porcs!$G$16=63,('Porc (Effectif détaillé)'!$D$43-'Porc (Effectif détaillé)'!$C$43+'Porc (Effectif détaillé)'!$C$50+'Porc (Effectif détaillé)'!$C$51+'Porc (Effectif détaillé)'!$C$52)*4.92,0)+IF(Param_porcs!$G$17=61,('Porc (Effectif détaillé)'!$D$41+'Porc (Effectif détaillé)'!$C$41+'Porc (Effectif détaillé)'!$C$42+'Porc (Effectif détaillé)'!$D$42)/2*138,0)+IF(Param_porcs!$G$17=62,('Porc (Effectif détaillé)'!$D$44-'Porc (Effectif détaillé)'!$C$44+'Porc (Effectif détaillé)'!$C$51+'Porc (Effectif détaillé)'!$C$52)*22.42,0)+IF(Param_porcs!$G$17=63,('Porc (Effectif détaillé)'!$D$43-'Porc (Effectif détaillé)'!$C$43+'Porc (Effectif détaillé)'!$C$50+'Porc (Effectif détaillé)'!$C$51+'Porc (Effectif détaillé)'!$C$52)*4.92,0)+IF(Param_porcs!$G$18=61,('Porc (Effectif détaillé)'!$D$41+'Porc (Effectif détaillé)'!$C$41+'Porc (Effectif détaillé)'!$C$42+'Porc (Effectif détaillé)'!$D$42)/2*138,0)+IF(Param_porcs!$G$18=62,('Porc (Effectif détaillé)'!$D$44-'Porc (Effectif détaillé)'!$C$44+'Porc (Effectif détaillé)'!$C$51+'Porc (Effectif détaillé)'!$C$52)*22.42,0)+IF(Param_porcs!$G$18=63,('Porc (Effectif détaillé)'!$D$43-'Porc (Effectif détaillé)'!$C$43+'Porc (Effectif détaillé)'!$C$50+'Porc (Effectif détaillé)'!$C$51+'Porc (Effectif détaillé)'!$C$52)*4.92,0)+IF(Param_porcs!$G$19=61,('Porc (Effectif détaillé)'!$D$41+'Porc (Effectif détaillé)'!$C$41+'Porc (Effectif détaillé)'!$C$42+'Porc (Effectif détaillé)'!$D$42)/2*138,0)+IF(Param_porcs!$G$19=62,('Porc (Effectif détaillé)'!$D$44-'Porc (Effectif détaillé)'!$C$44+'Porc (Effectif détaillé)'!$C$51+'Porc (Effectif détaillé)'!$C$52)*22.42,0)+IF(Param_porcs!$G$19=63,('Porc (Effectif détaillé)'!$D$43-'Porc (Effectif détaillé)'!$C$43+'Porc (Effectif détaillé)'!$C$50+'Porc (Effectif détaillé)'!$C$51+'Porc (Effectif détaillé)'!$C$52)*4.92,0))/1000)</f>
        <v>0</v>
      </c>
    </row>
    <row r="251" spans="2:9" x14ac:dyDescent="0.25">
      <c r="B251" s="99"/>
      <c r="C251" s="111"/>
      <c r="D251" s="111"/>
      <c r="E251" s="111"/>
      <c r="F251" s="111"/>
      <c r="G251" s="111"/>
      <c r="H251" s="111"/>
      <c r="I251" s="112"/>
    </row>
    <row r="252" spans="2:9" x14ac:dyDescent="0.25">
      <c r="B252" s="115" t="s">
        <v>582</v>
      </c>
      <c r="C252" s="111"/>
      <c r="D252" s="111"/>
      <c r="E252" s="111"/>
      <c r="F252" s="111"/>
      <c r="G252" s="111"/>
      <c r="H252" s="111"/>
      <c r="I252" s="112"/>
    </row>
    <row r="253" spans="2:9" x14ac:dyDescent="0.25">
      <c r="B253" s="146"/>
      <c r="C253" s="113" t="s">
        <v>583</v>
      </c>
      <c r="D253" s="113" t="s">
        <v>584</v>
      </c>
      <c r="E253" s="113" t="s">
        <v>585</v>
      </c>
      <c r="F253" s="113" t="s">
        <v>586</v>
      </c>
      <c r="G253" s="1141" t="s">
        <v>587</v>
      </c>
      <c r="H253" s="1142"/>
      <c r="I253" s="112"/>
    </row>
    <row r="254" spans="2:9" x14ac:dyDescent="0.25">
      <c r="B254" s="147" t="s">
        <v>588</v>
      </c>
      <c r="C254" s="148"/>
      <c r="D254" s="148"/>
      <c r="E254" s="148"/>
      <c r="F254" s="148"/>
      <c r="G254" s="149"/>
      <c r="H254" s="150"/>
      <c r="I254" s="112"/>
    </row>
    <row r="255" spans="2:9" x14ac:dyDescent="0.25">
      <c r="B255" s="148" t="s">
        <v>589</v>
      </c>
      <c r="C255" s="151"/>
      <c r="D255" s="151"/>
      <c r="E255" s="151">
        <f>IF('Porc (Aliments)'!$A$10="Fumière (litière sciure compostée)", 'Porc (Aliments)'!$D$15,0) + IF('Porc (Aliments)'!$A$20="Fumière (litière sciure compostée)",'Porc (Aliments)'!$D$25,0) + IF('Porc (Aliments)'!$A$30="Fumière (litière sciure compostée)",'Porc (Aliments)'!$D$35,0)</f>
        <v>0</v>
      </c>
      <c r="F255" s="110" t="s">
        <v>50</v>
      </c>
      <c r="G255" s="152">
        <f>E255+C255-D255</f>
        <v>0</v>
      </c>
      <c r="H255" s="150"/>
      <c r="I255" s="112"/>
    </row>
    <row r="256" spans="2:9" x14ac:dyDescent="0.25">
      <c r="B256" s="148" t="s">
        <v>590</v>
      </c>
      <c r="C256" s="151"/>
      <c r="D256" s="151"/>
      <c r="E256" s="151">
        <f>IF('Porc (Aliments)'!$A$10="Fumière (litière sciure compostée)", 'Porc (Aliments)'!$J$15,0) + IF('Porc (Aliments)'!$A$20="Fumière (litière sciure compostée)", 'Porc (Aliments)'!$J$25,0) + IF('Porc (Aliments)'!$A$30="Fumière (litière sciure compostée)", 'Porc (Aliments)'!$J$35, 0)</f>
        <v>0</v>
      </c>
      <c r="F256" s="110" t="s">
        <v>50</v>
      </c>
      <c r="G256" s="152">
        <f t="shared" ref="G256:G260" si="10">E256+C256-D256</f>
        <v>0</v>
      </c>
      <c r="H256" s="153" t="s">
        <v>591</v>
      </c>
      <c r="I256" s="112"/>
    </row>
    <row r="257" spans="2:9" x14ac:dyDescent="0.25">
      <c r="B257" s="148" t="s">
        <v>592</v>
      </c>
      <c r="C257" s="151"/>
      <c r="D257" s="151"/>
      <c r="E257" s="151">
        <f>IF('Porc (Aliments)'!$A$10="Fumière (litière sciure compostée)",'Porc (Aliments)'!$K$15,0) + IF('Porc (Aliments)'!$A$20="Fumière (litière sciure compostée)",'Porc (Aliments)'!$K$25,0) + IF('Porc (Aliments)'!$A$30="Fumière (litière sciure compostée)", 'Porc (Aliments)'!$K$35,0)</f>
        <v>0</v>
      </c>
      <c r="F257" s="110" t="s">
        <v>50</v>
      </c>
      <c r="G257" s="152">
        <f t="shared" si="10"/>
        <v>0</v>
      </c>
      <c r="H257" s="153" t="s">
        <v>593</v>
      </c>
      <c r="I257" s="112"/>
    </row>
    <row r="258" spans="2:9" x14ac:dyDescent="0.25">
      <c r="B258" s="148" t="s">
        <v>594</v>
      </c>
      <c r="C258" s="151"/>
      <c r="D258" s="151"/>
      <c r="E258" s="151">
        <f>IF('Porc (Aliments)'!$A$10="Fumière (litière sciure compostée)", 'Porc (Aliments)'!$L$15,0) + IF('Porc (Aliments)'!$A$20="Fumière (litière sciure compostée)", 'Porc (Aliments)'!$L$25,0) + IF('Porc (Aliments)'!$A$30="Fumière (litière sciure compostée)",'Porc (Aliments)'!$L$35,0)</f>
        <v>0</v>
      </c>
      <c r="F258" s="110" t="s">
        <v>50</v>
      </c>
      <c r="G258" s="152">
        <f t="shared" si="10"/>
        <v>0</v>
      </c>
      <c r="H258" s="153" t="s">
        <v>595</v>
      </c>
      <c r="I258" s="112"/>
    </row>
    <row r="259" spans="2:9" x14ac:dyDescent="0.25">
      <c r="B259" s="148" t="s">
        <v>596</v>
      </c>
      <c r="C259" s="151"/>
      <c r="D259" s="151"/>
      <c r="E259" s="151">
        <f>(IF('Porc (Aliments)'!$A$10="Fumière (litière sciure compostée)",'Porc (Aliments)'!$M$15,0) + IF('Porc (Aliments)'!$A$20="Fumière (litière sciure compostée)", 'Porc (Aliments)'!$M$25,0) + IF('Porc (Aliments)'!$A$30="Fumière (litière sciure compostée)",'Porc (Aliments)'!$M$35,0))/1000</f>
        <v>0</v>
      </c>
      <c r="F259" s="137"/>
      <c r="G259" s="152">
        <f t="shared" si="10"/>
        <v>0</v>
      </c>
      <c r="H259" s="153"/>
      <c r="I259" s="112"/>
    </row>
    <row r="260" spans="2:9" x14ac:dyDescent="0.25">
      <c r="B260" s="155" t="s">
        <v>597</v>
      </c>
      <c r="C260" s="169"/>
      <c r="D260" s="169"/>
      <c r="E260" s="169">
        <f>(IF('Porc (Aliments)'!$A$10="Fumière (litière sciure compostée)",'Porc (Aliments)'!$N$15,0) + IF('Porc (Aliments)'!$A$20="Fumière (litière sciure compostée)",'Porc (Aliments)'!$N$25,0) + IF('Porc (Aliments)'!$A$30="Fumière (litière sciure compostée)",'Porc (Aliments)'!$N$35,0))/1000</f>
        <v>0</v>
      </c>
      <c r="F260" s="157"/>
      <c r="G260" s="152">
        <f t="shared" si="10"/>
        <v>0</v>
      </c>
      <c r="H260" s="158"/>
      <c r="I260" s="112"/>
    </row>
    <row r="261" spans="2:9" x14ac:dyDescent="0.25">
      <c r="B261" s="147" t="s">
        <v>598</v>
      </c>
      <c r="C261" s="159"/>
      <c r="D261" s="159"/>
      <c r="E261" s="159"/>
      <c r="F261" s="160"/>
      <c r="G261" s="161"/>
      <c r="H261" s="162"/>
      <c r="I261" s="112"/>
    </row>
    <row r="262" spans="2:9" x14ac:dyDescent="0.25">
      <c r="B262" s="148" t="s">
        <v>589</v>
      </c>
      <c r="C262" s="151">
        <f>IF('Feuille saisie commune'!$F$15="Fumière (litière sciure compostée)", IF('Feuille saisie commune'!$C$15="Porcs charcutiers", 'Porc (Effectif détaillé)'!$T$44, 0), 0)+IF('Feuille saisie commune'!$F$16="Fumière (litière sciure compostée)", IF('Feuille saisie commune'!$C$16="Porcs charcutiers", 'Porc (Effectif détaillé)'!$T$44, 0), 0)+IF('Feuille saisie commune'!$F$17="Fumière (litière sciure compostée)", IF('Feuille saisie commune'!$C$17="Porcs charcutiers", 'Porc (Effectif détaillé)'!$T$44, 0), 0)+IF('Feuille saisie commune'!$F$47="Fumière (litière sciure compostée)", IF('Feuille saisie commune'!$B$48="Porcs charcutiers", 'Porc (Effectif détaillé)'!$T$44, 0), 0)+                                                                                                                                                                                      IF('Feuille saisie commune'!$F$15="Fumière (litière sciure compostée)", IF('Feuille saisie commune'!$C$15="Truies et verrats", 'Porc (Effectif détaillé)'!$T$41+'Porc (Effectif détaillé)'!$T$42, 0), 0)+IF('Feuille saisie commune'!$F$16="Fumière (litière sciure compostée)", IF('Feuille saisie commune'!$C$16="Truies et verrats", 'Porc (Effectif détaillé)'!$T$41+'Porc (Effectif détaillé)'!$T$42, 0), 0)+IF('Feuille saisie commune'!$F$17="Fumière (litière sciure compostée)", IF('Feuille saisie commune'!$C$17="Truies et verrats", 'Porc (Effectif détaillé)'!$T$41+'Porc (Effectif détaillé)'!$T$42, 0), 0)+IF('Feuille saisie commune'!$F$47="Fumière (litière sciure compostée)", IF('Feuille saisie commune'!$B$48="Truies et verrats", 'Porc (Effectif détaillé)'!$T$41+'Porc (Effectif détaillé)'!$T$42, 0), 0)+                                                                                                       IF('Feuille saisie commune'!$F$15="Fumière (litière sciure compostée)", IF('Feuille saisie commune'!$C$15="Post-sevrage", 'Porc (Effectif détaillé)'!$T$43, 0), 0)+IF('Feuille saisie commune'!$F$16="Fumière (litière sciure compostée)", IF('Feuille saisie commune'!$C$16="Post-sevrage", 'Porc (Effectif détaillé)'!$T$43, 0), 0)+IF('Feuille saisie commune'!$F$17="Fumière (litière sciure compostée)", IF('Feuille saisie commune'!$C$17="Post-sevrage", 'Porc (Effectif détaillé)'!$T$43, 0), 0)+IF('Feuille saisie commune'!$F$47="Fumière (litière sciure compostée)", IF('Feuille saisie commune'!$B$48="Post-sevrage", 'Porc (Effectif détaillé)'!$T$43, 0), 0)</f>
        <v>0</v>
      </c>
      <c r="D262" s="151">
        <f>IF('Feuille saisie commune'!$F$15="Fumière (litière sciure compostée)", IF('Feuille saisie commune'!$C$15="Porcs charcutiers", 'Porc (Effectif détaillé)'!$U$44, 0), 0)+IF('Feuille saisie commune'!$F$16="Fumière (litière sciure compostée)", IF('Feuille saisie commune'!$C$16="Porcs charcutiers", 'Porc (Effectif détaillé)'!$U$44, 0), 0)+IF('Feuille saisie commune'!$F$17="Fumière (litière sciure compostée)", IF('Feuille saisie commune'!$C$17="Porcs charcutiers", 'Porc (Effectif détaillé)'!$U$44, 0), 0)+IF('Feuille saisie commune'!$F$47="Fumière (litière sciure compostée)", IF('Feuille saisie commune'!$B$48="Porcs charcutiers", 'Porc (Effectif détaillé)'!$U$44, 0), 0)+                                                                                                                                                                                            IF('Feuille saisie commune'!$F$15="Fumière (litière sciure compostée)", IF('Feuille saisie commune'!$C$15="Truies et verrats", 'Porc (Effectif détaillé)'!$U$41+'Porc (Effectif détaillé)'!$U$42, 0), 0)+IF('Feuille saisie commune'!$F$16="Fumière (litière sciure compostée)", IF('Feuille saisie commune'!$C$16="Truies et verrats", 'Porc (Effectif détaillé)'!$U$41+'Porc (Effectif détaillé)'!$U$42, 0), 0)+IF('Feuille saisie commune'!$F$17="Fumière (litière sciure compostée)", IF('Feuille saisie commune'!$C$17="Truies et verrats", 'Porc (Effectif détaillé)'!$U$41+'Porc (Effectif détaillé)'!$U$42, 0), 0)+IF('Feuille saisie commune'!$F$47="Fumière (litière sciure compostée)", IF('Feuille saisie commune'!$B$48="Truies et verrats", 'Porc (Effectif détaillé)'!$U$41+'Porc (Effectif détaillé)'!$U$42, 0), 0)+                                                                                                           IF('Feuille saisie commune'!$F$15="Fumière (litière sciure compostée)", IF('Feuille saisie commune'!$C$15="Post-sevrage", 'Porc (Effectif détaillé)'!$U$43, 0), 0)+IF('Feuille saisie commune'!$F$16="Fumière (litière sciure compostée)", IF('Feuille saisie commune'!$C$16="Post-sevrage", 'Porc (Effectif détaillé)'!$U$43, 0), 0)+IF('Feuille saisie commune'!$F$17="Fumière (litière sciure compostée)", IF('Feuille saisie commune'!$C$17="Post-sevrage", 'Porc (Effectif détaillé)'!$U$43, 0), 0)+IF('Feuille saisie commune'!$F$47="Fumière (litière sciure compostée)", IF('Feuille saisie commune'!$B$48="Post-sevrage", 'Porc (Effectif détaillé)'!$U$43, 0), 0)</f>
        <v>0</v>
      </c>
      <c r="E262" s="163">
        <f>IF('Feuille saisie commune'!$F$15="Fumière (litière sciure compostée)", IF('Feuille saisie commune'!$C$15="Porcs charcutiers", 'Porc (Effectif détaillé)'!$O$50, 0), 0)+IF('Feuille saisie commune'!$F$16="Fumière (litière sciure compostée)", IF('Feuille saisie commune'!$C$16="Porcs charcutiers", 'Porc (Effectif détaillé)'!$O$50, 0), 0)+IF('Feuille saisie commune'!$F$17="Fumière (litière sciure compostée)", IF('Feuille saisie commune'!$C$17="Porcs charcutiers", 'Porc (Effectif détaillé)'!$O$50, 0), 0)+IF('Feuille saisie commune'!$F$47="Fumière (litière sciure compostée)", IF('Feuille saisie commune'!$B$48="Porcs charcutiers", 'Porc (Effectif détaillé)'!$O$50, 0), 0)+                                                                                                                                                                                            IF('Feuille saisie commune'!$F$15="Fumière (litière sciure compostée)", IF('Feuille saisie commune'!$C$15="Truies et verrats", 'Porc (Effectif détaillé)'!$O$51, 0), 0)+IF('Feuille saisie commune'!$F$16="Fumière (litière sciure compostée)", IF('Feuille saisie commune'!$C$16="Truies et verrats", 'Porc (Effectif détaillé)'!$O$51, 0), 0)+IF('Feuille saisie commune'!$F$17="Fumière (litière sciure compostée)", IF('Feuille saisie commune'!$C$17="Truies et verrats", 'Porc (Effectif détaillé)'!$O$51, 0), 0)+IF('Feuille saisie commune'!$F$47="Fumière (litière sciure compostée)", IF('Feuille saisie commune'!$B$48="Truies et verrats", 'Porc (Effectif détaillé)'!$O$51, 0), 0)+                                                                                                                                                                                                                                               IF('Feuille saisie commune'!$F$15="Fumière (litière sciure compostée)", IF('Feuille saisie commune'!$C$15="Post-sevrage", 'Porc (Effectif détaillé)'!$O$49, 0), 0)+IF('Feuille saisie commune'!$F$16="Fumière (litière sciure compostée)", IF('Feuille saisie commune'!$C$16="Post-sevrage", 'Porc (Effectif détaillé)'!$O$49, 0), 0)+IF('Feuille saisie commune'!$F$17="Fumière (litière sciure compostée)", IF('Feuille saisie commune'!$C$17="Post-sevrage", 'Porc (Effectif détaillé)'!$O$49, 0), 0)+IF('Feuille saisie commune'!$F$47="Fumière (litière sciure compostée)", IF('Feuille saisie commune'!$B$48="Post-sevrage", 'Porc (Effectif détaillé)'!$O$49, 0), 0)</f>
        <v>0</v>
      </c>
      <c r="F262" s="164">
        <f>IF('Feuille saisie commune'!$F$15="Fumière (litière sciure compostée)", IF('Feuille saisie commune'!$C$15="Porcs charcutiers", 'Porc (Effectif détaillé)'!$I$51+'Porc (Effectif détaillé)'!$I$52+'Porc (Effectif détaillé)'!$I$54*0.6, 0), 0)+IF('Feuille saisie commune'!$F$16="Fumière (litière sciure compostée)", IF('Feuille saisie commune'!$C$16="Porcs charcutiers", 'Porc (Effectif détaillé)'!$I$51+'Porc (Effectif détaillé)'!$I$52+'Porc (Effectif détaillé)'!$I$54*0.6, 0), 0)+IF('Feuille saisie commune'!$F$17="Fumière (litière sciure compostée)", IF('Feuille saisie commune'!$C$17="Porcs charcutiers", 'Porc (Effectif détaillé)'!$I$51+'Porc (Effectif détaillé)'!$I$52+'Porc (Effectif détaillé)'!$I$54*0.6, 0), 0)+IF('Feuille saisie commune'!$F$47="Fumière (litière sciure compostée)", IF('Feuille saisie commune'!$B$48="Porcs charcutiers", 'Porc (Effectif détaillé)'!$I$51+'Porc (Effectif détaillé)'!$I$52+'Porc (Effectif détaillé)'!$I$54*0.6, 0), 0)+                                                                                                                                   IF('Feuille saisie commune'!$F$15="Fumière (litière sciure compostée)", IF('Feuille saisie commune'!$C$15="Truies et verrats", 'Porc (Effectif détaillé)'!$I$49+'Porc (Effectif détaillé)'!$I$53+'Porc (Effectif détaillé)'!$I$54*0.4, 0), 0)+IF('Feuille saisie commune'!$F$16="Fumière (litière sciure compostée)", IF('Feuille saisie commune'!$C$16="Truies et verrats", 'Porc (Effectif détaillé)'!$I$49+'Porc (Effectif détaillé)'!$I$53+'Porc (Effectif détaillé)'!$I$54*0.4, 0), 0)+IF('Feuille saisie commune'!$F$17="Fumière (litière sciure compostée)", IF('Feuille saisie commune'!$C$17="Truies et verrats", 'Porc (Effectif détaillé)'!$I$49+'Porc (Effectif détaillé)'!$I$53+'Porc (Effectif détaillé)'!$I$54*0.4, 0), 0)+IF('Feuille saisie commune'!$F$47="Fumière (litière sciure compostée)", IF('Feuille saisie commune'!$B$48="Truies et verrats", 'Porc (Effectif détaillé)'!I$49+'Porc (Effectif détaillé)'!I$53+'Porc (Effectif détaillé)'!I$54*0.4, 0), 0)+                                                                                                                                                                                                              IF('Feuille saisie commune'!$F$15="Fumière (litière sciure compostée)", IF('Feuille saisie commune'!$C$15="Post-sevrage", 'Porc (Effectif détaillé)'!$I$50, 0), 0)+IF('Feuille saisie commune'!$F$16="Fumière (litière sciure compostée)", IF('Feuille saisie commune'!$C$16="Post-sevrage", 'Porc (Effectif détaillé)'!$I$50, 0), 0)+IF('Feuille saisie commune'!$F$17="Fumière (litière sciure compostée)", IF('Feuille saisie commune'!$C$17="Post-sevrage", 'Porc (Effectif détaillé)'!$I$50, 0), 0)+IF('Feuille saisie commune'!$F$47="Fumière (litière sciure compostée)", IF('Feuille saisie commune'!$B$48="Post-sevrage", 'Porc (Effectif détaillé)'!$I$50, 0), 0)</f>
        <v>0</v>
      </c>
      <c r="G262" s="152">
        <f>F262+D262-C262-E262</f>
        <v>0</v>
      </c>
      <c r="H262" s="153"/>
      <c r="I262" s="112"/>
    </row>
    <row r="263" spans="2:9" x14ac:dyDescent="0.25">
      <c r="B263" s="148" t="s">
        <v>590</v>
      </c>
      <c r="C263" s="151">
        <f>IF('Feuille saisie commune'!$F$15="Fumière (litière sciure compostée)", IF('Feuille saisie commune'!$C$15="Porcs charcutiers", 'Porc (Effectif détaillé)'!$J$44, 0), 0)+IF('Feuille saisie commune'!$F$16="Fumière (litière sciure compostée)", IF('Feuille saisie commune'!$C$16="Porcs charcutiers", 'Porc (Effectif détaillé)'!$J$44, 0), 0)+IF('Feuille saisie commune'!$F$17="Fumière (litière sciure compostée)", IF('Feuille saisie commune'!$C$17="Porcs charcutiers", 'Porc (Effectif détaillé)'!$J$44, 0), 0)+IF('Feuille saisie commune'!$F$47="Fumière (litière sciure compostée)", IF('Feuille saisie commune'!$B$48="Porcs charcutiers", 'Porc (Effectif détaillé)'!$J$44, 0), 0)+                                                                                                                                                                                      IF('Feuille saisie commune'!$F$15="Fumière (litière sciure compostée)", IF('Feuille saisie commune'!$C$15="Truies et verrats", 'Porc (Effectif détaillé)'!$J$41+'Porc (Effectif détaillé)'!$J$42, 0), 0)+IF('Feuille saisie commune'!$F$16="Fumière (litière sciure compostée)", IF('Feuille saisie commune'!$C$16="Truies et verrats", 'Porc (Effectif détaillé)'!$J$41+'Porc (Effectif détaillé)'!$J$42, 0), 0)+IF('Feuille saisie commune'!$F$17="Fumière (litière sciure compostée)", IF('Feuille saisie commune'!$C$17="Truies et verrats", 'Porc (Effectif détaillé)'!$J$41+'Porc (Effectif détaillé)'!$J$42, 0), 0)+IF('Feuille saisie commune'!$F$47="Fumière (litière sciure compostée)", IF('Feuille saisie commune'!$B$48="Truies et verrats", 'Porc (Effectif détaillé)'!$J$41+'Porc (Effectif détaillé)'!$J$42, 0), 0)+                                                                                                       IF('Feuille saisie commune'!$F$15="Fumière (litière sciure compostée)", IF('Feuille saisie commune'!$C$15="Post-sevrage", 'Porc (Effectif détaillé)'!$J$43, 0), 0)+IF('Feuille saisie commune'!$F$16="Fumière (litière sciure compostée)", IF('Feuille saisie commune'!$C$16="Post-sevrage", 'Porc (Effectif détaillé)'!$J$43, 0), 0)+IF('Feuille saisie commune'!$F$17="Fumière (litière sciure compostée)", IF('Feuille saisie commune'!$C$17="Post-sevrage", 'Porc (Effectif détaillé)'!$J$43, 0), 0)+IF('Feuille saisie commune'!$F$47="Fumière (litière sciure compostée)", IF('Feuille saisie commune'!$B$48="Post-sevrage", 'Porc (Effectif détaillé)'!$J$43, 0), 0)</f>
        <v>0</v>
      </c>
      <c r="D263" s="151">
        <f>IF('Feuille saisie commune'!$F$15="Fumière (litière sciure compostée)", IF('Feuille saisie commune'!$C$15="Porcs charcutiers", 'Porc (Effectif détaillé)'!$K$44, 0), 0)+IF('Feuille saisie commune'!$F$16="Fumière (litière sciure compostée)", IF('Feuille saisie commune'!$C$16="Porcs charcutiers", 'Porc (Effectif détaillé)'!$K$44, 0), 0)+IF('Feuille saisie commune'!$F$17="Fumière (litière sciure compostée)", IF('Feuille saisie commune'!$C$17="Porcs charcutiers", 'Porc (Effectif détaillé)'!$K$44, 0), 0)+IF('Feuille saisie commune'!$F$47="Fumière (litière sciure compostée)", IF('Feuille saisie commune'!$B$48="Porcs charcutiers", 'Porc (Effectif détaillé)'!$K$44, 0), 0)+                                                                                                                                                                                            IF('Feuille saisie commune'!$F$15="Fumière (litière sciure compostée)", IF('Feuille saisie commune'!$C$15="Truies et verrats", 'Porc (Effectif détaillé)'!$K$41+'Porc (Effectif détaillé)'!$K$42, 0), 0)+IF('Feuille saisie commune'!$F$16="Fumière (litière sciure compostée)", IF('Feuille saisie commune'!$C$16="Truies et verrats", 'Porc (Effectif détaillé)'!$K$41+'Porc (Effectif détaillé)'!$K$42, 0), 0)+IF('Feuille saisie commune'!$F$17="Fumière (litière sciure compostée)", IF('Feuille saisie commune'!$C$17="Truies et verrats", 'Porc (Effectif détaillé)'!$K$41+'Porc (Effectif détaillé)'!$K$42, 0), 0)+IF('Feuille saisie commune'!$F$47="Fumière (litière sciure compostée)", IF('Feuille saisie commune'!$B$48="Truies et verrats", 'Porc (Effectif détaillé)'!$K$41+'Porc (Effectif détaillé)'!$K$42, 0), 0)+                                                                                                          IF('Feuille saisie commune'!$F$15="Fumière (litière sciure compostée)", IF('Feuille saisie commune'!$C$15="Post-sevrage", 'Porc (Effectif détaillé)'!$K$43, 0), 0)+IF('Feuille saisie commune'!$F$16="Fumière (litière sciure compostée)", IF('Feuille saisie commune'!$C$16="Post-sevrage", 'Porc (Effectif détaillé)'!$K$43, 0), 0)+IF('Feuille saisie commune'!$F$17="Fumière (litière sciure compostée)", IF('Feuille saisie commune'!$C$17="Post-sevrage", 'Porc (Effectif détaillé)'!$K$43, 0), 0)+IF('Feuille saisie commune'!$F$47="Fumière (litière sciure compostée)", IF('Feuille saisie commune'!$B$48="Post-sevrage", 'Porc (Effectif détaillé)'!$K$43, 0), 0)</f>
        <v>0</v>
      </c>
      <c r="E263" s="163">
        <f>IF('Feuille saisie commune'!$F$15="Fumière (litière sciure compostée)", IF('Feuille saisie commune'!$C$15="Porcs charcutiers", 'Porc (Effectif détaillé)'!$P$50, 0), 0)+IF('Feuille saisie commune'!$F$16="Fumière (litière sciure compostée)", IF('Feuille saisie commune'!$C$16="Porcs charcutiers", 'Porc (Effectif détaillé)'!$P$50, 0), 0)+IF('Feuille saisie commune'!$F$17="Fumière (litière sciure compostée)", IF('Feuille saisie commune'!$C$17="Porcs charcutiers", 'Porc (Effectif détaillé)'!$P$50, 0), 0)+IF('Feuille saisie commune'!$F$47="Fumière (litière sciure compostée)", IF('Feuille saisie commune'!$B$48="Porcs charcutiers", 'Porc (Effectif détaillé)'!$P$50, 0), 0)+                                                                                                                                                                                            IF('Feuille saisie commune'!$F$15="Fumière (litière sciure compostée)", IF('Feuille saisie commune'!$C$15="Truies et verrats", 'Porc (Effectif détaillé)'!$P$51, 0), 0)+IF('Feuille saisie commune'!$F$16="Fumière (litière sciure compostée)", IF('Feuille saisie commune'!$C$16="Truies et verrats", 'Porc (Effectif détaillé)'!$P$51, 0), 0)+IF('Feuille saisie commune'!$F$17="Fumière (litière sciure compostée)", IF('Feuille saisie commune'!$C$17="Truies et verrats", 'Porc (Effectif détaillé)'!$P$51, 0), 0)+IF('Feuille saisie commune'!$F$47="Fumière (litière sciure compostée)", IF('Feuille saisie commune'!$B$48="Truies et verrats", 'Porc (Effectif détaillé)'!$P$51, 0), 0)+                                                                                                                                                                                                                                               IF('Feuille saisie commune'!$F$15="Fumière (litière sciure compostée)", IF('Feuille saisie commune'!$C$15="Post-sevrage", 'Porc (Effectif détaillé)'!$P$49, 0), 0)+IF('Feuille saisie commune'!$F$16="Fumière (litière sciure compostée)", IF('Feuille saisie commune'!$C$16="Post-sevrage", 'Porc (Effectif détaillé)'!$P$49, 0), 0)+IF('Feuille saisie commune'!$F$17="Fumière (litière sciure compostée)", IF('Feuille saisie commune'!$C$17="Post-sevrage", 'Porc (Effectif détaillé)'!$P$49, 0), 0)+IF('Feuille saisie commune'!$F$47="Fumière (litière sciure compostée)", IF('Feuille saisie commune'!$B$48="Post-sevrage", 'Porc (Effectif détaillé)'!$P$49, 0), 0)</f>
        <v>0</v>
      </c>
      <c r="F263" s="164">
        <f>IF('Feuille saisie commune'!$F$15="Fumière (litière sciure compostée)", IF('Feuille saisie commune'!$C$15="Porcs charcutiers", 'Porc (Effectif détaillé)'!$J$51+'Porc (Effectif détaillé)'!$J$52+'Porc (Effectif détaillé)'!$J$54*0.6, 0), 0)+IF('Feuille saisie commune'!$F$16="Fumière (litière sciure compostée)", IF('Feuille saisie commune'!$C$16="Porcs charcutiers", 'Porc (Effectif détaillé)'!$J$51+'Porc (Effectif détaillé)'!$J$52+'Porc (Effectif détaillé)'!$J$54*0.6, 0), 0)+IF('Feuille saisie commune'!$F$17="Fumière (litière sciure compostée)", IF('Feuille saisie commune'!$C$17="Porcs charcutiers", 'Porc (Effectif détaillé)'!$J$51+'Porc (Effectif détaillé)'!$J$52+'Porc (Effectif détaillé)'!$J$54*0.6, 0), 0)+IF('Feuille saisie commune'!$F$47="Fumière (litière sciure compostée)", IF('Feuille saisie commune'!$B$48="Porcs charcutiers", 'Porc (Effectif détaillé)'!$J$51+'Porc (Effectif détaillé)'!$J$52+'Porc (Effectif détaillé)'!$J$54*0.6, 0), 0)+                                                                                                                                   IF('Feuille saisie commune'!$F$15="Fumière (litière sciure compostée)", IF('Feuille saisie commune'!$C$15="Truies et verrats", 'Porc (Effectif détaillé)'!$J$49+'Porc (Effectif détaillé)'!$J$53+'Porc (Effectif détaillé)'!$J$54*0.4, 0), 0)+IF('Feuille saisie commune'!$F$16="Fumière (litière sciure compostée)", IF('Feuille saisie commune'!$C$16="Truies et verrats", 'Porc (Effectif détaillé)'!$J$49+'Porc (Effectif détaillé)'!$J$53+'Porc (Effectif détaillé)'!$J$54*0.4, 0), 0)+IF('Feuille saisie commune'!$F$17="Fumière (litière sciure compostée)", IF('Feuille saisie commune'!$C$17="Truies et verrats", 'Porc (Effectif détaillé)'!$J$49+'Porc (Effectif détaillé)'!$J$53+'Porc (Effectif détaillé)'!$J$54*0.4, 0), 0)+IF('Feuille saisie commune'!$F$47="Fumière (litière sciure compostée)", IF('Feuille saisie commune'!$B$48="Truies et verrats", 'Porc (Effectif détaillé)'!$J$49+'Porc (Effectif détaillé)'!$J$53+'Porc (Effectif détaillé)'!$J$54*0.4, 0), 0)+                                                                                                                                                                                                              IF('Feuille saisie commune'!$F$15="Fumière (litière sciure compostée)", IF('Feuille saisie commune'!$C$15="Post-sevrage", 'Porc (Effectif détaillé)'!$J$50, 0), 0)+IF('Feuille saisie commune'!$F$16="Fumière (litière sciure compostée)", IF('Feuille saisie commune'!$C$16="Post-sevrage", 'Porc (Effectif détaillé)'!$J$50, 0), 0)+IF('Feuille saisie commune'!$F$17="Fumière (litière sciure compostée)", IF('Feuille saisie commune'!$C$17="Post-sevrage", 'Porc (Effectif détaillé)'!$J$50, 0), 0)+IF('Feuille saisie commune'!$F$47="Fumière (litière sciure compostée)", IF('Feuille saisie commune'!$B$48="Post-sevrage", 'Porc (Effectif détaillé)'!$J$50, 0), 0)</f>
        <v>0</v>
      </c>
      <c r="G263" s="152">
        <f t="shared" ref="G263:G267" si="11">F263+D263-C263-E263</f>
        <v>0</v>
      </c>
      <c r="H263" s="153" t="s">
        <v>599</v>
      </c>
      <c r="I263" s="112"/>
    </row>
    <row r="264" spans="2:9" x14ac:dyDescent="0.25">
      <c r="B264" s="148" t="s">
        <v>600</v>
      </c>
      <c r="C264" s="151">
        <f>IF('Feuille saisie commune'!$F$15="Fumière (litière sciure compostée)", IF('Feuille saisie commune'!$C$15="Porcs charcutiers", 'Porc (Effectif détaillé)'!$L$44, 0), 0)+IF('Feuille saisie commune'!$F$16="Fumière (litière sciure compostée)", IF('Feuille saisie commune'!$C$16="Porcs charcutiers", 'Porc (Effectif détaillé)'!$L$44, 0), 0)+IF('Feuille saisie commune'!$F$17="Fumière (litière sciure compostée)", IF('Feuille saisie commune'!$C$17="Porcs charcutiers", 'Porc (Effectif détaillé)'!$L$44, 0), 0)+IF('Feuille saisie commune'!$F$47="Fumière (litière sciure compostée)", IF('Feuille saisie commune'!$B$48="Porcs charcutiers", 'Porc (Effectif détaillé)'!$L$44, 0), 0)+                                                                                                                                                                                          IF('Feuille saisie commune'!$F$15="Fumière (litière sciure compostée)", IF('Feuille saisie commune'!$C$15="Truies et verrats", 'Porc (Effectif détaillé)'!$L$41+'Porc (Effectif détaillé)'!$L$42, 0), 0)+IF('Feuille saisie commune'!$F$16="Fumière (litière sciure compostée)", IF('Feuille saisie commune'!$C$16="Truies et verrats", 'Porc (Effectif détaillé)'!$L$41+'Porc (Effectif détaillé)'!$L$42, 0), 0)+IF('Feuille saisie commune'!$F$17="Fumière (litière sciure compostée)", IF('Feuille saisie commune'!$C$17="Truies et verrats", 'Porc (Effectif détaillé)'!$L$41+'Porc (Effectif détaillé)'!$L$42, 0), 0)+IF('Feuille saisie commune'!$F$47="Fumière (litière sciure compostée)", IF('Feuille saisie commune'!$B$48="Truies et verrats", 'Porc (Effectif détaillé)'!$L$41+'Porc (Effectif détaillé)'!$L$42, 0), 0)+                                                                                                       IF('Feuille saisie commune'!$F$15="Fumière (litière sciure compostée)", IF('Feuille saisie commune'!$C$15="Post-sevrage", 'Porc (Effectif détaillé)'!$L$43, 0), 0)+IF('Feuille saisie commune'!$F$16="Fumière (litière sciure compostée)", IF('Feuille saisie commune'!$C$16="Post-sevrage", 'Porc (Effectif détaillé)'!$L$43, 0), 0)+IF('Feuille saisie commune'!$F$17="Fumière (litière sciure compostée)", IF('Feuille saisie commune'!$C$17="Post-sevrage", 'Porc (Effectif détaillé)'!$L$43, 0), 0)+IF('Feuille saisie commune'!$F$47="Fumière (litière sciure compostée)", IF('Feuille saisie commune'!$B$48="Post-sevrage", 'Porc (Effectif détaillé)'!$L$43, 0), 0)</f>
        <v>0</v>
      </c>
      <c r="D264" s="151">
        <f>IF('Feuille saisie commune'!$F$15="Fumière (litière sciure compostée)", IF('Feuille saisie commune'!$C$15="Porcs charcutiers", 'Porc (Effectif détaillé)'!$M$44, 0), 0)+IF('Feuille saisie commune'!$F$16="Fumière (litière sciure compostée)", IF('Feuille saisie commune'!$C$16="Porcs charcutiers", 'Porc (Effectif détaillé)'!$M$44, 0), 0)+IF('Feuille saisie commune'!$F$17="Fumière (litière sciure compostée)", IF('Feuille saisie commune'!$C$17="Porcs charcutiers", 'Porc (Effectif détaillé)'!$M$44, 0), 0)+IF('Feuille saisie commune'!$F$47="Fumière (litière sciure compostée)", IF('Feuille saisie commune'!$B$48="Porcs charcutiers", 'Porc (Effectif détaillé)'!$M$44, 0), 0)+                                                                                                                                                                                       IF('Feuille saisie commune'!$F$15="Fumière (litière sciure compostée)", IF('Feuille saisie commune'!$C$15="Truies et verrats", 'Porc (Effectif détaillé)'!$M$41+'Porc (Effectif détaillé)'!$M$42, 0), 0)+IF('Feuille saisie commune'!$F$16="Fumière (litière sciure compostée)", IF('Feuille saisie commune'!$C$16="Truies et verrats", 'Porc (Effectif détaillé)'!$M$41+'Porc (Effectif détaillé)'!$M$42, 0), 0)+IF('Feuille saisie commune'!$F$17="Fumière (litière sciure compostée)", IF('Feuille saisie commune'!$C$17="Truies et verrats", 'Porc (Effectif détaillé)'!$M$41+'Porc (Effectif détaillé)'!$M$42, 0), 0)+IF('Feuille saisie commune'!$F$47="Fumière (litière sciure compostée)", IF('Feuille saisie commune'!$B$48="Truies et verrats", 'Porc (Effectif détaillé)'!$M$41+'Porc (Effectif détaillé)'!$M$42, 0), 0)+                                                                                                          IF('Feuille saisie commune'!$F$15="Fumière (litière sciure compostée)", IF('Feuille saisie commune'!$C$15="Post-sevrage", 'Porc (Effectif détaillé)'!$M$43, 0), 0)+IF('Feuille saisie commune'!$F$16="Fumière (litière sciure compostée)", IF('Feuille saisie commune'!$C$16="Post-sevrage", 'Porc (Effectif détaillé)'!$M$43, 0), 0)+IF('Feuille saisie commune'!$F$17="Fumière (litière sciure compostée)", IF('Feuille saisie commune'!$C$17="Post-sevrage", 'Porc (Effectif détaillé)'!$M$43, 0), 0)+IF('Feuille saisie commune'!$F$47="Fumière (litière sciure compostée)", IF('Feuille saisie commune'!$B$48="Post-sevrage", 'Porc (Effectif détaillé)'!$M$43, 0), 0)</f>
        <v>0</v>
      </c>
      <c r="E264" s="163">
        <f>IF('Feuille saisie commune'!$F$15="Fumière (litière sciure compostée)", IF('Feuille saisie commune'!$C$15="Porcs charcutiers", 'Porc (Effectif détaillé)'!$Q$50, 0), 0)+IF('Feuille saisie commune'!$F$16="Fumière (litière sciure compostée)", IF('Feuille saisie commune'!$C$16="Porcs charcutiers", 'Porc (Effectif détaillé)'!$Q$50, 0), 0)+IF('Feuille saisie commune'!$F$17="Fumière (litière sciure compostée)", IF('Feuille saisie commune'!$C$17="Porcs charcutiers", 'Porc (Effectif détaillé)'!$Q$50, 0), 0)+IF('Feuille saisie commune'!$F$47="Fumière (litière sciure compostée)", IF('Feuille saisie commune'!$B$48="Porcs charcutiers", 'Porc (Effectif détaillé)'!$Q$50, 0), 0)+                                                                                                                                                                                            IF('Feuille saisie commune'!$F$15="Fumière (litière sciure compostée)", IF('Feuille saisie commune'!$C$15="Truies et verrats", 'Porc (Effectif détaillé)'!$Q$51, 0), 0)+IF('Feuille saisie commune'!$F$16="Fumière (litière sciure compostée)", IF('Feuille saisie commune'!$C$16="Truies et verrats", 'Porc (Effectif détaillé)'!$Q$51, 0), 0)+IF('Feuille saisie commune'!$F$17="Fumière (litière sciure compostée)", IF('Feuille saisie commune'!$C$17="Truies et verrats", 'Porc (Effectif détaillé)'!$Q$51, 0), 0)+IF('Feuille saisie commune'!$F$47="Fumière (litière sciure compostée)", IF('Feuille saisie commune'!$B$48="Truies et verrats", 'Porc (Effectif détaillé)'!$Q$51, 0), 0)+                                                                                                                                                                                                                                               IF('Feuille saisie commune'!$F$15="Fumière (litière sciure compostée)", IF('Feuille saisie commune'!$C$15="Post-sevrage", 'Porc (Effectif détaillé)'!$Q$49, 0), 0)+IF('Feuille saisie commune'!$F$16="Fumière (litière sciure compostée)", IF('Feuille saisie commune'!$C$16="Post-sevrage", 'Porc (Effectif détaillé)'!$Q$49, 0), 0)+IF('Feuille saisie commune'!$F$17="Fumière (litière sciure compostée)", IF('Feuille saisie commune'!$C$17="Post-sevrage", 'Porc (Effectif détaillé)'!$Q$49, 0), 0)+IF('Feuille saisie commune'!$F$47="Fumière (litière sciure compostée)", IF('Feuille saisie commune'!$B$48="Post-sevrage", 'Porc (Effectif détaillé)'!$Q$49, 0), 0)</f>
        <v>0</v>
      </c>
      <c r="F264" s="164">
        <f>IF('Feuille saisie commune'!$F$15="Fumière (litière sciure compostée)", IF('Feuille saisie commune'!$C$15="Porcs charcutiers", 'Porc (Effectif détaillé)'!$K$51+'Porc (Effectif détaillé)'!$K$52+'Porc (Effectif détaillé)'!$K$54*0.6, 0), 0)+IF('Feuille saisie commune'!$F$16="Fumière (litière sciure compostée)", IF('Feuille saisie commune'!$C$16="Porcs charcutiers", 'Porc (Effectif détaillé)'!$K$51+'Porc (Effectif détaillé)'!$K$52+'Porc (Effectif détaillé)'!$K$54*0.6, 0), 0)+IF('Feuille saisie commune'!$F$17="Fumière (litière sciure compostée)", IF('Feuille saisie commune'!$C$17="Porcs charcutiers", 'Porc (Effectif détaillé)'!$K$51+'Porc (Effectif détaillé)'!$K$52+'Porc (Effectif détaillé)'!$K$54*0.6, 0), 0)+IF('Feuille saisie commune'!$F$47="Fumière (litière sciure compostée)", IF('Feuille saisie commune'!$B$48="Porcs charcutiers", 'Porc (Effectif détaillé)'!$K$51+'Porc (Effectif détaillé)'!$K$52+'Porc (Effectif détaillé)'!$K$54*0.6, 0), 0)+                                                                                                                                   IF('Feuille saisie commune'!$F$15="Fumière (litière sciure compostée)", IF('Feuille saisie commune'!$C$15="Truies et verrats", 'Porc (Effectif détaillé)'!$K$49+'Porc (Effectif détaillé)'!$K$53+'Porc (Effectif détaillé)'!$K$54*0.4, 0), 0)+IF('Feuille saisie commune'!$F$16="Fumière (litière sciure compostée)", IF('Feuille saisie commune'!$C$16="Truies et verrats", 'Porc (Effectif détaillé)'!$K$49+'Porc (Effectif détaillé)'!$K$53+'Porc (Effectif détaillé)'!$K$54*0.4, 0), 0)+IF('Feuille saisie commune'!$F$17="Fumière (litière sciure compostée)", IF('Feuille saisie commune'!$C$17="Truies et verrats", 'Porc (Effectif détaillé)'!$K$49+'Porc (Effectif détaillé)'!$K$53+'Porc (Effectif détaillé)'!$K$54*0.4, 0), 0)+IF('Feuille saisie commune'!$F$47="Fumière (litière sciure compostée)", IF('Feuille saisie commune'!$B$48="Truies et verrats", 'Porc (Effectif détaillé)'!$K$49+'Porc (Effectif détaillé)'!$K$53+'Porc (Effectif détaillé)'!$K$54*0.4, 0), 0)+                                                                                                                                                                                                              IF('Feuille saisie commune'!$F$15="Fumière (litière sciure compostée)", IF('Feuille saisie commune'!$C$15="Post-sevrage", 'Porc (Effectif détaillé)'!$K$50, 0), 0)+IF('Feuille saisie commune'!$F$16="Fumière (litière sciure compostée)", IF('Feuille saisie commune'!$C$16="Post-sevrage", 'Porc (Effectif détaillé)'!$K$50, 0), 0)+IF('Feuille saisie commune'!$F$17="Fumière (litière sciure compostée)", IF('Feuille saisie commune'!$C$17="Post-sevrage", 'Porc (Effectif détaillé)'!$K$50, 0), 0)+IF('Feuille saisie commune'!$F$47="Fumière (litière sciure compostée)", IF('Feuille saisie commune'!$B$48="Post-sevrage", 'Porc (Effectif détaillé)'!$K$50, 0), 0)</f>
        <v>0</v>
      </c>
      <c r="G264" s="152">
        <f t="shared" si="11"/>
        <v>0</v>
      </c>
      <c r="H264" s="153" t="s">
        <v>601</v>
      </c>
      <c r="I264" s="165"/>
    </row>
    <row r="265" spans="2:9" x14ac:dyDescent="0.25">
      <c r="B265" s="148" t="s">
        <v>594</v>
      </c>
      <c r="C265" s="151">
        <f>IF('Feuille saisie commune'!$F$15="Fumière (litière sciure compostée)", IF('Feuille saisie commune'!$C$15="Porcs charcutiers", 'Porc (Effectif détaillé)'!$N$44, 0), 0)+IF('Feuille saisie commune'!$F$16="Fumière (litière sciure compostée)", IF('Feuille saisie commune'!$C$16="Porcs charcutiers", 'Porc (Effectif détaillé)'!$N$44, 0), 0)+IF('Feuille saisie commune'!$F$17="Fumière (litière sciure compostée)", IF('Feuille saisie commune'!$C$17="Porcs charcutiers", 'Porc (Effectif détaillé)'!$N$44, 0), 0)+IF('Feuille saisie commune'!$F$47="Fumière (litière sciure compostée)", IF('Feuille saisie commune'!$B$48="Porcs charcutiers", 'Porc (Effectif détaillé)'!$N$44, 0), 0)+                                                                                                                                                                                      IF('Feuille saisie commune'!$F$15="Fumière (litière sciure compostée)", IF('Feuille saisie commune'!$C$15="Truies et verrats", 'Porc (Effectif détaillé)'!$N$41+'Porc (Effectif détaillé)'!$N$42, 0), 0)+IF('Feuille saisie commune'!$F$16="Fumière (litière sciure compostée)", IF('Feuille saisie commune'!$C$16="Truies et verrats", 'Porc (Effectif détaillé)'!$N$41+'Porc (Effectif détaillé)'!$N$42, 0), 0)+IF('Feuille saisie commune'!$F$17="Fumière (litière sciure compostée)", IF('Feuille saisie commune'!$C$17="Truies et verrats", 'Porc (Effectif détaillé)'!$N$41+'Porc (Effectif détaillé)'!$N$42, 0), 0)+IF('Feuille saisie commune'!$F$47="Fumière (litière sciure compostée)", IF('Feuille saisie commune'!$B$48="Truies et verrats", 'Porc (Effectif détaillé)'!$N$41+'Porc (Effectif détaillé)'!$N$42, 0), 0)+                                                                                                         IF('Feuille saisie commune'!$F$15="Fumière (litière sciure compostée)", IF('Feuille saisie commune'!$C$15="Post-sevrage", 'Porc (Effectif détaillé)'!$N$43, 0), 0)+IF('Feuille saisie commune'!$F$16="Fumière (litière sciure compostée)", IF('Feuille saisie commune'!$C$16="Post-sevrage", 'Porc (Effectif détaillé)'!$N$43, 0), 0)+IF('Feuille saisie commune'!$F$17="Fumière (litière sciure compostée)", IF('Feuille saisie commune'!$C$17="Post-sevrage", 'Porc (Effectif détaillé)'!$N$43, 0), 0)+IF('Feuille saisie commune'!$F$47="Fumière (litière sciure compostée)", IF('Feuille saisie commune'!$B$48="Post-sevrage", 'Porc (Effectif détaillé)'!$N$43, 0), 0)</f>
        <v>0</v>
      </c>
      <c r="D265" s="151">
        <f>IF('Feuille saisie commune'!$F$15="Fumière (litière sciure compostée)", IF('Feuille saisie commune'!$C$15="Porcs charcutiers", 'Porc (Effectif détaillé)'!$O$44, 0), 0)+IF('Feuille saisie commune'!$F$16="Fumière (litière sciure compostée)", IF('Feuille saisie commune'!$C$16="Porcs charcutiers", 'Porc (Effectif détaillé)'!$O$44, 0), 0)+IF('Feuille saisie commune'!$F$17="Fumière (litière sciure compostée)", IF('Feuille saisie commune'!$C$17="Porcs charcutiers", 'Porc (Effectif détaillé)'!$O$44, 0), 0)+IF('Feuille saisie commune'!$F$47="Fumière (litière sciure compostée)", IF('Feuille saisie commune'!$B$48="Porcs charcutiers", 'Porc (Effectif détaillé)'!$O$44, 0), 0)+                                                                                                                                                                                               IF('Feuille saisie commune'!$F$15="Fumière (litière sciure compostée)", IF('Feuille saisie commune'!$C$15="Truies et verrats", 'Porc (Effectif détaillé)'!$O$41+'Porc (Effectif détaillé)'!$O$42, 0), 0)+IF('Feuille saisie commune'!$F$16="Fumière (litière sciure compostée)", IF('Feuille saisie commune'!$C$16="Truies et verrats", 'Porc (Effectif détaillé)'!$O$41+'Porc (Effectif détaillé)'!$O$42, 0), 0)+IF('Feuille saisie commune'!$F$17="Fumière (litière sciure compostée)", IF('Feuille saisie commune'!$C$17="Truies et verrats", 'Porc (Effectif détaillé)'!$O$41+'Porc (Effectif détaillé)'!$O$42, 0), 0)+IF('Feuille saisie commune'!$F$47="Fumière (litière sciure compostée)", IF('Feuille saisie commune'!$B$48="Truies et verrats", 'Porc (Effectif détaillé)'!$O$41+'Porc (Effectif détaillé)'!$O$42, 0), 0)+                                                                                                                                                IF('Feuille saisie commune'!$F$15="Fumière (litière sciure compostée)", IF('Feuille saisie commune'!$C$15="Post-sevrage", 'Porc (Effectif détaillé)'!$O$43, 0), 0)+IF('Feuille saisie commune'!$F$16="Fumière (litière sciure compostée)", IF('Feuille saisie commune'!$C$16="Post-sevrage", 'Porc (Effectif détaillé)'!$O$43, 0), 0)+IF('Feuille saisie commune'!$F$17="Fumière (litière sciure compostée)", IF('Feuille saisie commune'!$C$17="Post-sevrage", 'Porc (Effectif détaillé)'!$O$43, 0), 0)+IF('Feuille saisie commune'!$F$47="Fumière (litière sciure compostée)", IF('Feuille saisie commune'!$B$48="Post-sevrage", 'Porc (Effectif détaillé)'!$O$43, 0), 0)</f>
        <v>0</v>
      </c>
      <c r="E265" s="163">
        <f>IF('Feuille saisie commune'!$F$15="Fumière (litière sciure compostée)", IF('Feuille saisie commune'!$C$15="Porcs charcutiers", 'Porc (Effectif détaillé)'!$R$50, 0), 0)+IF('Feuille saisie commune'!$F$16="Fumière (litière sciure compostée)", IF('Feuille saisie commune'!$C$16="Porcs charcutiers", 'Porc (Effectif détaillé)'!$R$50, 0), 0)+IF('Feuille saisie commune'!$F$17="Fumière (litière sciure compostée)", IF('Feuille saisie commune'!$C$17="Porcs charcutiers", 'Porc (Effectif détaillé)'!$R$50, 0), 0)+IF('Feuille saisie commune'!$F$47="Fumière (litière sciure compostée)", IF('Feuille saisie commune'!$B$48="Porcs charcutiers", 'Porc (Effectif détaillé)'!$R$50, 0), 0)+                                                                                                                                                                                            IF('Feuille saisie commune'!$F$15="Fumière (litière sciure compostée)", IF('Feuille saisie commune'!$C$15="Truies et verrats", 'Porc (Effectif détaillé)'!$R$51, 0), 0)+IF('Feuille saisie commune'!$F$16="Fumière (litière sciure compostée)", IF('Feuille saisie commune'!$C$16="Truies et verrats", 'Porc (Effectif détaillé)'!$R$51, 0), 0)+IF('Feuille saisie commune'!$F$17="Fumière (litière sciure compostée)", IF('Feuille saisie commune'!$C$17="Truies et verrats", 'Porc (Effectif détaillé)'!$R$51, 0), 0)+IF('Feuille saisie commune'!$F$47="Fumière (litière sciure compostée)", IF('Feuille saisie commune'!$B$48="Truies et verrats", 'Porc (Effectif détaillé)'!$R$51, 0), 0)+                                                                                                                                                                                                                                               IF('Feuille saisie commune'!$F$15="Fumière (litière sciure compostée)", IF('Feuille saisie commune'!$C$15="Post-sevrage", 'Porc (Effectif détaillé)'!$R$49, 0), 0)+IF('Feuille saisie commune'!$F$16="Fumière (litière sciure compostée)", IF('Feuille saisie commune'!$C$16="Post-sevrage", 'Porc (Effectif détaillé)'!$R$49, 0), 0)+IF('Feuille saisie commune'!$F$17="Fumière (litière sciure compostée)", IF('Feuille saisie commune'!$C$17="Post-sevrage", 'Porc (Effectif détaillé)'!$R$49, 0), 0)+IF('Feuille saisie commune'!$F$47="Fumière (litière sciure compostée)", IF('Feuille saisie commune'!$B$48="Post-sevrage", 'Porc (Effectif détaillé)'!$R$49, 0), 0)</f>
        <v>0</v>
      </c>
      <c r="F265" s="163">
        <f>IF('Feuille saisie commune'!$F$15="Fumière (litière sciure compostée)", IF('Feuille saisie commune'!$C$15="Porcs charcutiers", 'Porc (Effectif détaillé)'!$L$51+'Porc (Effectif détaillé)'!$L$52+'Porc (Effectif détaillé)'!$L$54*0.6, 0), 0)+IF('Feuille saisie commune'!$F$16="Fumière (litière sciure compostée)", IF('Feuille saisie commune'!$C$16="Porcs charcutiers", 'Porc (Effectif détaillé)'!$L$51+'Porc (Effectif détaillé)'!$L$52+'Porc (Effectif détaillé)'!$L$54*0.6, 0), 0)+IF('Feuille saisie commune'!$F$17="Fumière (litière sciure compostée)", IF('Feuille saisie commune'!$C$17="Porcs charcutiers", 'Porc (Effectif détaillé)'!$L$51+'Porc (Effectif détaillé)'!$L$52+'Porc (Effectif détaillé)'!$L$54*0.6, 0), 0)+IF('Feuille saisie commune'!$F$47="Fumière (litière sciure compostée)", IF('Feuille saisie commune'!$B$48="Porcs charcutiers", 'Porc (Effectif détaillé)'!$L$51+'Porc (Effectif détaillé)'!$L$52+'Porc (Effectif détaillé)'!$L$54*0.6, 0), 0)+                                                                                                                                   IF('Feuille saisie commune'!$F$15="Fumière (litière sciure compostée)", IF('Feuille saisie commune'!$C$15="Truies et verrats", 'Porc (Effectif détaillé)'!$L$49+'Porc (Effectif détaillé)'!$L$53+'Porc (Effectif détaillé)'!$L$54*0.4, 0), 0)+IF('Feuille saisie commune'!$F$16="Fumière (litière sciure compostée)", IF('Feuille saisie commune'!$C$16="Truies et verrats", 'Porc (Effectif détaillé)'!$L$49+'Porc (Effectif détaillé)'!$L$53+'Porc (Effectif détaillé)'!$L$54*0.4, 0), 0)+IF('Feuille saisie commune'!$F$17="Fumière (litière sciure compostée)", IF('Feuille saisie commune'!$C$17="Truies et verrats", 'Porc (Effectif détaillé)'!$I$49+'Porc (Effectif détaillé)'!$I$53+'Porc (Effectif détaillé)'!$I$54*0.4, 0), 0)+IF('Feuille saisie commune'!$F$47="Fumière (litière sciure compostée)", IF('Feuille saisie commune'!$B$48="Truies et verrats", 'Porc (Effectif détaillé)'!$L$49+'Porc (Effectif détaillé)'!$L$53+'Porc (Effectif détaillé)'!$L$54*0.4, 0), 0)+                                                                                                                                                                                                              IF('Feuille saisie commune'!$F$15="Fumière (litière sciure compostée)", IF('Feuille saisie commune'!$C$15="Post-sevrage", 'Porc (Effectif détaillé)'!$L$50, 0), 0)+IF('Feuille saisie commune'!$F$16="Fumière (litière sciure compostée)", IF('Feuille saisie commune'!$C$16="Post-sevrage", 'Porc (Effectif détaillé)'!$L$50, 0), 0)+IF('Feuille saisie commune'!$F$17="Fumière (litière sciure compostée)", IF('Feuille saisie commune'!$C$17="Post-sevrage", 'Porc (Effectif détaillé)'!$L$50, 0), 0)+IF('Feuille saisie commune'!$F$47="Fumière (litière sciure compostée)", IF('Feuille saisie commune'!$B$48="Post-sevrage", 'Porc (Effectif détaillé)'!$L$50, 0), 0)</f>
        <v>0</v>
      </c>
      <c r="G265" s="152">
        <f t="shared" si="11"/>
        <v>0</v>
      </c>
      <c r="H265" s="153" t="s">
        <v>602</v>
      </c>
      <c r="I265" s="112"/>
    </row>
    <row r="266" spans="2:9" x14ac:dyDescent="0.25">
      <c r="B266" s="148" t="s">
        <v>596</v>
      </c>
      <c r="C266" s="154">
        <f>IF('Feuille saisie commune'!$F$15="Fumière (litière sciure compostée)", IF('Feuille saisie commune'!$C$15="Porcs charcutiers", 'Porc (Effectif détaillé)'!$P$44, 0), 0)+IF('Feuille saisie commune'!$F$16="Fumière (litière sciure compostée)", IF('Feuille saisie commune'!$C$16="Porcs charcutiers", 'Porc (Effectif détaillé)'!$P$44, 0), 0)+IF('Feuille saisie commune'!$F$17="Fumière (litière sciure compostée)", IF('Feuille saisie commune'!$C$17="Porcs charcutiers", 'Porc (Effectif détaillé)'!$P$44, 0), 0)+IF('Feuille saisie commune'!$F$47="Fumière (litière sciure compostée)", IF('Feuille saisie commune'!$B$48="Porcs charcutiers", 'Porc (Effectif détaillé)'!$P$44, 0), 0)+                                                                                                                                                                                              IF('Feuille saisie commune'!$F$15="Fumière (litière sciure compostée)", IF('Feuille saisie commune'!$C$15="Truies et verrats", 'Porc (Effectif détaillé)'!$P$41+'Porc (Effectif détaillé)'!$P$42, 0), 0)+IF('Feuille saisie commune'!$F$16="Fumière (litière sciure compostée)", IF('Feuille saisie commune'!$C$16="Truies et verrats", 'Porc (Effectif détaillé)'!$P$41+'Porc (Effectif détaillé)'!$P$42, 0), 0)+IF('Feuille saisie commune'!$F$17="Fumière (litière sciure compostée)", IF('Feuille saisie commune'!$C$17="Truies et verrats", 'Porc (Effectif détaillé)'!$P$41+'Porc (Effectif détaillé)'!$P$42, 0), 0)+IF('Feuille saisie commune'!$F$47="Fumière (litière sciure compostée)", IF('Feuille saisie commune'!$B$48="Truies et verrats", 'Porc (Effectif détaillé)'!$P$41+'Porc (Effectif détaillé)'!$P$42, 0), 0)+                                                                                                            IF('Feuille saisie commune'!$F$15="Fumière (litière sciure compostée)", IF('Feuille saisie commune'!$C$15="Post-sevrage", 'Porc (Effectif détaillé)'!$P$43, 0), 0)+IF('Feuille saisie commune'!$F$16="Fumière (litière sciure compostée)", IF('Feuille saisie commune'!$C$16="Post-sevrage", 'Porc (Effectif détaillé)'!$P$43, 0), 0)+IF('Feuille saisie commune'!$F$17="Fumière (litière sciure compostée)", IF('Feuille saisie commune'!$C$17="Post-sevrage", 'Porc (Effectif détaillé)'!$P$43, 0), 0)+IF('Feuille saisie commune'!$F$47="Fumière (litière sciure compostée)", IF('Feuille saisie commune'!$B$48="Post-sevrage", 'Porc (Effectif détaillé)'!$P$43, 0), 0)</f>
        <v>0</v>
      </c>
      <c r="D266" s="154">
        <f>IF('Feuille saisie commune'!$F$15="Fumière (litière sciure compostée)", IF('Feuille saisie commune'!$C$15="Porcs charcutiers", 'Porc (Effectif détaillé)'!$Q$44, 0), 0)+IF('Feuille saisie commune'!$F$16="Fumière (litière sciure compostée)", IF('Feuille saisie commune'!$C$16="Porcs charcutiers", 'Porc (Effectif détaillé)'!$Q$44, 0), 0)+IF('Feuille saisie commune'!$F$17="Fumière (litière sciure compostée)", IF('Feuille saisie commune'!$C$17="Porcs charcutiers", 'Porc (Effectif détaillé)'!$Q$44, 0), 0)+IF('Feuille saisie commune'!$F$47="Fumière (litière sciure compostée)", IF('Feuille saisie commune'!$B$48="Porcs charcutiers", 'Porc (Effectif détaillé)'!$Q$44, 0), 0)+                                                                                                                                                                                              IF('Feuille saisie commune'!$F$15="Fumière (litière sciure compostée)", IF('Feuille saisie commune'!$C$15="Truies et verrats", 'Porc (Effectif détaillé)'!$Q$41+'Porc (Effectif détaillé)'!$Q$42, 0), 0)+IF('Feuille saisie commune'!$F$16="Fumière (litière sciure compostée)", IF('Feuille saisie commune'!$C$16="Truies et verrats", 'Porc (Effectif détaillé)'!$Q$41+'Porc (Effectif détaillé)'!$Q$42, 0), 0)+IF('Feuille saisie commune'!$F$17="Fumière (litière sciure compostée)", IF('Feuille saisie commune'!$C$17="Truies et verrats", 'Porc (Effectif détaillé)'!$Q$41+'Porc (Effectif détaillé)'!$Q$42, 0), 0)+IF('Feuille saisie commune'!$F$47="Fumière (litière sciure compostée)", IF('Feuille saisie commune'!$B$48="Truies et verrats", 'Porc (Effectif détaillé)'!$Q$41+'Porc (Effectif détaillé)'!$Q$42, 0), 0)+                                                                                                                                               IF('Feuille saisie commune'!$F$15="Fumière (litière sciure compostée)", IF('Feuille saisie commune'!$C$15="Post-sevrage", 'Porc (Effectif détaillé)'!$Q$43, 0), 0)+IF('Feuille saisie commune'!$F$16="Fumière (litière sciure compostée)", IF('Feuille saisie commune'!$C$16="Post-sevrage", 'Porc (Effectif détaillé)'!$Q$43, 0), 0)+IF('Feuille saisie commune'!$F$17="Fumière (litière sciure compostée)", IF('Feuille saisie commune'!$C$17="Post-sevrage", 'Porc (Effectif détaillé)'!$Q$43, 0), 0)+IF('Feuille saisie commune'!$F$47="Fumière (litière sciure compostée)", IF('Feuille saisie commune'!$B$48="Post-sevrage", 'Porc (Effectif détaillé)'!$Q$43, 0), 0)</f>
        <v>0</v>
      </c>
      <c r="E266" s="166">
        <f>IF('Feuille saisie commune'!$F$15="Fumière (litière sciure compostée)", IF('Feuille saisie commune'!$C$15="Porcs charcutiers", 'Porc (Effectif détaillé)'!$S$50, 0), 0)+IF('Feuille saisie commune'!$F$16="Fumière (litière sciure compostée)", IF('Feuille saisie commune'!$C$16="Porcs charcutiers", 'Porc (Effectif détaillé)'!$S$50, 0), 0)+IF('Feuille saisie commune'!$F$17="Fumière (litière sciure compostée)", IF('Feuille saisie commune'!$C$17="Porcs charcutiers", 'Porc (Effectif détaillé)'!$S$50, 0), 0)+IF('Feuille saisie commune'!$F$47="Fumière (litière sciure compostée)", IF('Feuille saisie commune'!$B$48="Porcs charcutiers", 'Porc (Effectif détaillé)'!$S$50, 0), 0)+                                                                                                                                                                                            IF('Feuille saisie commune'!$F$15="Fumière (litière sciure compostée)", IF('Feuille saisie commune'!$C$15="Truies et verrats", 'Porc (Effectif détaillé)'!$S$51, 0), 0)+IF('Feuille saisie commune'!$F$16="Fumière (litière sciure compostée)", IF('Feuille saisie commune'!$C$16="Truies et verrats", 'Porc (Effectif détaillé)'!$S$51, 0), 0)+IF('Feuille saisie commune'!$F$17="Fumière (litière sciure compostée)", IF('Feuille saisie commune'!$C$17="Truies et verrats", 'Porc (Effectif détaillé)'!$S$51, 0), 0)+IF('Feuille saisie commune'!$F$47="Fumière (litière sciure compostée)", IF('Feuille saisie commune'!$B$48="Truies et verrats", 'Porc (Effectif détaillé)'!$S$51, 0), 0)+                                                                                                                                                                                                                                               IF('Feuille saisie commune'!$F$15="Fumière (litière sciure compostée)", IF('Feuille saisie commune'!$C$15="Post-sevrage", 'Porc (Effectif détaillé)'!$S$49, 0), 0)+IF('Feuille saisie commune'!$F$16="Fumière (litière sciure compostée)", IF('Feuille saisie commune'!$C$16="Post-sevrage", 'Porc (Effectif détaillé)'!$S$49, 0), 0)+IF('Feuille saisie commune'!$F$17="Fumière (litière sciure compostée)", IF('Feuille saisie commune'!$C$17="Post-sevrage", 'Porc (Effectif détaillé)'!$S$49, 0), 0)+IF('Feuille saisie commune'!$F$47="Fumière (litière sciure compostée)", IF('Feuille saisie commune'!$B$48="Post-sevrage", 'Porc (Effectif détaillé)'!$S$49, 0), 0)</f>
        <v>0</v>
      </c>
      <c r="F266" s="166">
        <f>IF('Feuille saisie commune'!$F$15="Fumière (litière sciure compostée)", IF('Feuille saisie commune'!$C$15="Porcs charcutiers", 'Porc (Effectif détaillé)'!$M$51+'Porc (Effectif détaillé)'!$M$52+'Porc (Effectif détaillé)'!$M$54*0.6, 0), 0)+IF('Feuille saisie commune'!$F$16="Fumière (litière sciure compostée)", IF('Feuille saisie commune'!$C$16="Porcs charcutiers", 'Porc (Effectif détaillé)'!$M$51+'Porc (Effectif détaillé)'!$M$52+'Porc (Effectif détaillé)'!$M$54*0.6, 0), 0)+IF('Feuille saisie commune'!$F$17="Fumière (litière sciure compostée)", IF('Feuille saisie commune'!$C$17="Porcs charcutiers", 'Porc (Effectif détaillé)'!$M$51+'Porc (Effectif détaillé)'!$M$52+'Porc (Effectif détaillé)'!$M$54*0.6, 0), 0)+IF('Feuille saisie commune'!$F$47="Fumière (litière sciure compostée)", IF('Feuille saisie commune'!$B$48="Porcs charcutiers", 'Porc (Effectif détaillé)'!$M$51+'Porc (Effectif détaillé)'!$M$52+'Porc (Effectif détaillé)'!$M$54*0.6, 0), 0)+                                                                                                                                   IF('Feuille saisie commune'!$F$15="Fumière (litière sciure compostée)", IF('Feuille saisie commune'!$C$15="Truies et verrats", 'Porc (Effectif détaillé)'!$M$49+'Porc (Effectif détaillé)'!$M$53+'Porc (Effectif détaillé)'!$M$54*0.4, 0), 0)+IF('Feuille saisie commune'!$F$16="Fumière (litière sciure compostée)", IF('Feuille saisie commune'!$C$16="Truies et verrats", 'Porc (Effectif détaillé)'!$M$49+'Porc (Effectif détaillé)'!$M$53+'Porc (Effectif détaillé)'!$M$54*0.4, 0), 0)+IF('Feuille saisie commune'!$F$17="Fumière (litière sciure compostée)", IF('Feuille saisie commune'!$C$17="Truies et verrats", 'Porc (Effectif détaillé)'!$M$49+'Porc (Effectif détaillé)'!$M$53+'Porc (Effectif détaillé)'!$M$54*0.4, 0), 0)+IF('Feuille saisie commune'!$F$47="Fumière (litière sciure compostée)", IF('Feuille saisie commune'!$B$48="Truies et verrats", 'Porc (Effectif détaillé)'!$M$49+'Porc (Effectif détaillé)'!$M$53+'Porc (Effectif détaillé)'!$M$54*0.4, 0), 0)+                                                                                                                                                                                                              IF('Feuille saisie commune'!$F$15="Fumière (litière sciure compostée)", IF('Feuille saisie commune'!$C$15="Post-sevrage", 'Porc (Effectif détaillé)'!$M$50, 0), 0)+IF('Feuille saisie commune'!$F$16="Fumière (litière sciure compostée)", IF('Feuille saisie commune'!$C$16="Post-sevrage", 'Porc (Effectif détaillé)'!$M$50, 0), 0)+IF('Feuille saisie commune'!$F$17="Fumière (litière sciure compostée)", IF('Feuille saisie commune'!$C$17="Post-sevrage", 'Porc (Effectif détaillé)'!$M$50, 0), 0)+IF('Feuille saisie commune'!$F$47="Fumière (litière sciure compostée)", IF('Feuille saisie commune'!$B$48="Post-sevrage", 'Porc (Effectif détaillé)'!$M$50, 0), 0)</f>
        <v>0</v>
      </c>
      <c r="G266" s="152">
        <f t="shared" si="11"/>
        <v>0</v>
      </c>
      <c r="H266" s="153"/>
      <c r="I266" s="112"/>
    </row>
    <row r="267" spans="2:9" x14ac:dyDescent="0.25">
      <c r="B267" s="155" t="s">
        <v>597</v>
      </c>
      <c r="C267" s="156">
        <f>IF('Feuille saisie commune'!$F$15="Fumière (litière sciure compostée)", IF('Feuille saisie commune'!$C$15="Porcs charcutiers", 'Porc (Effectif détaillé)'!$R$44, 0), 0)+IF('Feuille saisie commune'!$F$16="Fumière (litière sciure compostée)", IF('Feuille saisie commune'!$C$16="Porcs charcutiers", 'Porc (Effectif détaillé)'!$R$44, 0), 0)+IF('Feuille saisie commune'!$F$17="Fumière (litière sciure compostée)", IF('Feuille saisie commune'!$C$17="Porcs charcutiers", 'Porc (Effectif détaillé)'!$R$44, 0), 0)+IF('Feuille saisie commune'!$F$47="Fumière (litière sciure compostée)", IF('Feuille saisie commune'!$B$48="Porcs charcutiers", 'Porc (Effectif détaillé)'!$R$44, 0), 0) +                                                                                                                                                                                            IF('Feuille saisie commune'!$F$15="Fumière (litière sciure compostée)", IF('Feuille saisie commune'!$C$15="Truies et verrats", 'Porc (Effectif détaillé)'!$R$41+'Porc (Effectif détaillé)'!$R$42, 0), 0)+IF('Feuille saisie commune'!$F$16="Fumière (litière sciure compostée)", IF('Feuille saisie commune'!$C$16="Truies et verrats", 'Porc (Effectif détaillé)'!$R$41+'Porc (Effectif détaillé)'!$R$42, 0), 0)+IF('Feuille saisie commune'!$F$17="Fumière (litière sciure compostée)", IF('Feuille saisie commune'!$C$17="Truies et verrats", 'Porc (Effectif détaillé)'!$R$41+'Porc (Effectif détaillé)'!$R$42, 0), 0)+IF('Feuille saisie commune'!$F$47="Fumière (litière sciure compostée)", IF('Feuille saisie commune'!$B$48="Truies et verrats", 'Porc (Effectif détaillé)'!$R$41+'Porc (Effectif détaillé)'!$R$42, 0), 0)+                                                                                                            IF('Feuille saisie commune'!$F$15="Fumière (litière sciure compostée)", IF('Feuille saisie commune'!$C$15="Post-sevrage", 'Porc (Effectif détaillé)'!$R$43, 0), 0)+IF('Feuille saisie commune'!$F$16="Fumière (litière sciure compostée)", IF('Feuille saisie commune'!$C$16="Post-sevrage", 'Porc (Effectif détaillé)'!$R$43, 0), 0)+IF('Feuille saisie commune'!$F$17="Fumière (litière sciure compostée)", IF('Feuille saisie commune'!$C$17="Post-sevrage", 'Porc (Effectif détaillé)'!$R$43, 0), 0)+IF('Feuille saisie commune'!$F$47="Fumière (litière sciure compostée)", IF('Feuille saisie commune'!$B$48="Post-sevrage", 'Porc (Effectif détaillé)'!$R$43, 0), 0)</f>
        <v>0</v>
      </c>
      <c r="D267" s="156">
        <f>IF('Feuille saisie commune'!$F$15="Fumière (litière sciure compostée)", IF('Feuille saisie commune'!$C$15="Porcs charcutiers", 'Porc (Effectif détaillé)'!$S$44, 0), 0)+IF('Feuille saisie commune'!$F$16="Fumière (litière sciure compostée)", IF('Feuille saisie commune'!$C$16="Porcs charcutiers", 'Porc (Effectif détaillé)'!$S$44, 0), 0)+IF('Feuille saisie commune'!$F$17="Fumière (litière sciure compostée)", IF('Feuille saisie commune'!$C$17="Porcs charcutiers", 'Porc (Effectif détaillé)'!$S$44, 0), 0)+IF('Feuille saisie commune'!$F$47="Fumière (litière sciure compostée)", IF('Feuille saisie commune'!$B$48="Porcs charcutiers", 'Porc (Effectif détaillé)'!$S$44, 0), 0)+                                                                                                                                                                                               IF('Feuille saisie commune'!$F$15="Fumière (litière sciure compostée)", IF('Feuille saisie commune'!$C$15="Truies et verrats", 'Porc (Effectif détaillé)'!$S$41+'Porc (Effectif détaillé)'!$S$42, 0), 0)+IF('Feuille saisie commune'!$F$16="Fumière (litière sciure compostée)", IF('Feuille saisie commune'!$C$16="Truies et verrats", 'Porc (Effectif détaillé)'!$S$41+'Porc (Effectif détaillé)'!$S$42, 0), 0)+IF('Feuille saisie commune'!$F$17="Fumière (litière sciure compostée)", IF('Feuille saisie commune'!$C$17="Truies et verrats", 'Porc (Effectif détaillé)'!$S$41+'Porc (Effectif détaillé)'!$S$42, 0), 0)+IF('Feuille saisie commune'!$F$47="Fumière (litière sciure compostée)", IF('Feuille saisie commune'!$B$48="Truies et verrats", 'Porc (Effectif détaillé)'!$S$41+'Porc (Effectif détaillé)'!$S$42, 0), 0)+                                                                                                           IF('Feuille saisie commune'!$F$15="Fumière (litière sciure compostée)", IF('Feuille saisie commune'!$C$15="Post-sevrage", 'Porc (Effectif détaillé)'!$S$43, 0), 0)+IF('Feuille saisie commune'!$F$16="Fumière (litière sciure compostée)", IF('Feuille saisie commune'!$C$16="Post-sevrage", 'Porc (Effectif détaillé)'!$S$43, 0), 0)+IF('Feuille saisie commune'!$F$17="Fumière (litière sciure compostée)", IF('Feuille saisie commune'!$C$17="Post-sevrage", 'Porc (Effectif détaillé)'!$S$43, 0), 0)+IF('Feuille saisie commune'!$F$47="Fumière (litière sciure compostée)", IF('Feuille saisie commune'!$B$48="Post-sevrage", 'Porc (Effectif détaillé)'!$S$43, 0), 0)</f>
        <v>0</v>
      </c>
      <c r="E267" s="167">
        <f>IF('Feuille saisie commune'!$F$15="Fumière (litière sciure compostée)", IF('Feuille saisie commune'!$C$15="Porcs charcutiers", 'Porc (Effectif détaillé)'!$T$50, 0), 0)+IF('Feuille saisie commune'!$F$16="Fumière (litière sciure compostée)", IF('Feuille saisie commune'!$C$16="Porcs charcutiers", 'Porc (Effectif détaillé)'!$T$50, 0), 0)+IF('Feuille saisie commune'!$F$17="Fumière (litière sciure compostée)", IF('Feuille saisie commune'!$C$17="Porcs charcutiers", 'Porc (Effectif détaillé)'!$T$50, 0), 0)+IF('Feuille saisie commune'!$F$47="Fumière (litière sciure compostée)", IF('Feuille saisie commune'!$B$48="Porcs charcutiers", 'Porc (Effectif détaillé)'!$T$50, 0), 0)+                                                                                                                                                                                            IF('Feuille saisie commune'!$F$15="Fumière (litière sciure compostée)", IF('Feuille saisie commune'!$C$15="Truies et verrats", 'Porc (Effectif détaillé)'!$T$51, 0), 0)+IF('Feuille saisie commune'!$F$16="Fumière (litière sciure compostée)", IF('Feuille saisie commune'!$C$16="Truies et verrats", 'Porc (Effectif détaillé)'!$T$51, 0), 0)+IF('Feuille saisie commune'!$F$17="Fumière (litière sciure compostée)", IF('Feuille saisie commune'!$C$17="Truies et verrats", 'Porc (Effectif détaillé)'!$T$51, 0), 0)+IF('Feuille saisie commune'!$F$47="Fumière (litière sciure compostée)", IF('Feuille saisie commune'!$B$48="Truies et verrats", 'Porc (Effectif détaillé)'!$T$51, 0), 0)+                                                                                                                                                                                                                                               IF('Feuille saisie commune'!$F$15="Fumière (litière sciure compostée)", IF('Feuille saisie commune'!$C$15="Post-sevrage", 'Porc (Effectif détaillé)'!$T$49, 0), 0)+IF('Feuille saisie commune'!$F$16="Fumière (litière sciure compostée)", IF('Feuille saisie commune'!$C$16="Post-sevrage", 'Porc (Effectif détaillé)'!$T$49, 0), 0)+IF('Feuille saisie commune'!$F$17="Fumière (litière sciure compostée)", IF('Feuille saisie commune'!$C$17="Post-sevrage", 'Porc (Effectif détaillé)'!$T$49, 0), 0)+IF('Feuille saisie commune'!$F$47="Fumière (litière sciure compostée)", IF('Feuille saisie commune'!$B$48="Post-sevrage", 'Porc (Effectif détaillé)'!$T$49, 0), 0)</f>
        <v>0</v>
      </c>
      <c r="F267" s="167">
        <f>IF('Feuille saisie commune'!$F$15="Fumière (litière sciure compostée)", IF('Feuille saisie commune'!$C$15="Porcs charcutiers", 'Porc (Effectif détaillé)'!$N$51+'Porc (Effectif détaillé)'!$N$52+'Porc (Effectif détaillé)'!$N$54*0.6, 0), 0)+IF('Feuille saisie commune'!$F$16="Fumière (litière sciure compostée)", IF('Feuille saisie commune'!$C$16="Porcs charcutiers", 'Porc (Effectif détaillé)'!$N$51+'Porc (Effectif détaillé)'!$N$52+'Porc (Effectif détaillé)'!$N$54*0.6, 0), 0)+IF('Feuille saisie commune'!$F$17="Fumière (litière sciure compostée)", IF('Feuille saisie commune'!$C$17="Porcs charcutiers", 'Porc (Effectif détaillé)'!$N$51+'Porc (Effectif détaillé)'!$N$52+'Porc (Effectif détaillé)'!$N$54*0.6, 0), 0)+IF('Feuille saisie commune'!$F$47="Fumière (litière sciure compostée)", IF('Feuille saisie commune'!$B$48="Porcs charcutiers", 'Porc (Effectif détaillé)'!$N$51+'Porc (Effectif détaillé)'!$N$52+'Porc (Effectif détaillé)'!$N$54*0.6, 0), 0)+                                                                                                                                   IF('Feuille saisie commune'!$F$15="Fumière (litière sciure compostée)", IF('Feuille saisie commune'!$C$15="Truies et verrats", 'Porc (Effectif détaillé)'!$N$49+'Porc (Effectif détaillé)'!$N$53+'Porc (Effectif détaillé)'!$N$54*0.4, 0), 0)+IF('Feuille saisie commune'!$F$16="Fumière (litière sciure compostée)", IF('Feuille saisie commune'!$C$16="Truies et verrats", 'Porc (Effectif détaillé)'!$N$49+'Porc (Effectif détaillé)'!$N$53+'Porc (Effectif détaillé)'!$N$54*0.4, 0), 0)+IF('Feuille saisie commune'!$F$17="Fumière (litière sciure compostée)", IF('Feuille saisie commune'!$C$17="Truies et verrats", 'Porc (Effectif détaillé)'!$N$49+'Porc (Effectif détaillé)'!$N$53+'Porc (Effectif détaillé)'!$N$54*0.4, 0), 0)+IF('Feuille saisie commune'!$F$47="Fumière (litière sciure compostée)", IF('Feuille saisie commune'!$B$48="Truies et verrats", 'Porc (Effectif détaillé)'!$N$49+'Porc (Effectif détaillé)'!$N$53+'Porc (Effectif détaillé)'!$N$54*0.4, 0), 0)+                                                                                                                                                                                                              IF('Feuille saisie commune'!$F$15="Fumière (litière sciure compostée)", IF('Feuille saisie commune'!$C$15="Post-sevrage", 'Porc (Effectif détaillé)'!$N$50, 0), 0)+IF('Feuille saisie commune'!$F$16="Fumière (litière sciure compostée)", IF('Feuille saisie commune'!$C$16="Post-sevrage", 'Porc (Effectif détaillé)'!$N$50, 0), 0)+IF('Feuille saisie commune'!$F$17="Fumière (litière sciure compostée)", IF('Feuille saisie commune'!$C$17="Post-sevrage", 'Porc (Effectif détaillé)'!$N$50, 0), 0)+IF('Feuille saisie commune'!$F$47="Fumière (litière sciure compostée)", IF('Feuille saisie commune'!$B$48="Post-sevrage", 'Porc (Effectif détaillé)'!$N$50, 0), 0)</f>
        <v>0</v>
      </c>
      <c r="G267" s="170">
        <f t="shared" si="11"/>
        <v>0</v>
      </c>
      <c r="H267" s="158"/>
      <c r="I267" s="12"/>
    </row>
    <row r="268" spans="2:9" x14ac:dyDescent="0.25">
      <c r="B268" s="147" t="s">
        <v>603</v>
      </c>
      <c r="C268" s="148"/>
      <c r="D268" s="148"/>
      <c r="E268" s="160"/>
      <c r="F268" s="148"/>
      <c r="G268" s="149"/>
      <c r="H268" s="150"/>
      <c r="I268" s="12"/>
    </row>
    <row r="269" spans="2:9" x14ac:dyDescent="0.25">
      <c r="B269" s="148" t="s">
        <v>666</v>
      </c>
      <c r="C269" s="110" t="s">
        <v>50</v>
      </c>
      <c r="D269" s="110" t="s">
        <v>50</v>
      </c>
      <c r="E269" s="151">
        <f>IF('Feuille saisie commune'!$F$15="Fumière (litière sciure compostée)", 'Feuille saisie commune'!$G$15,0)+IF('Feuille saisie commune'!$F$16="Fumière (litière sciure compostée)",'Feuille saisie commune'!$G$16,0)+IF('Feuille saisie commune'!$F$17="Fumière (litière sciure compostée)",'Feuille saisie commune'!$G$17,0)+IF('Feuille saisie commune'!$F$47="Fumière (litière sciure compostée)",'Feuille saisie commune'!$G$44,0)</f>
        <v>0</v>
      </c>
      <c r="F269" s="110" t="s">
        <v>50</v>
      </c>
      <c r="G269" s="152">
        <f>+E269</f>
        <v>0</v>
      </c>
      <c r="H269" s="150"/>
      <c r="I269" s="12"/>
    </row>
    <row r="270" spans="2:9" x14ac:dyDescent="0.25">
      <c r="B270" s="148" t="s">
        <v>590</v>
      </c>
      <c r="C270" s="110" t="s">
        <v>50</v>
      </c>
      <c r="D270" s="110" t="s">
        <v>50</v>
      </c>
      <c r="E270" s="151">
        <f>E269*$D$4*10</f>
        <v>0</v>
      </c>
      <c r="F270" s="110" t="s">
        <v>50</v>
      </c>
      <c r="G270" s="152">
        <f>+E270</f>
        <v>0</v>
      </c>
      <c r="H270" s="153" t="s">
        <v>591</v>
      </c>
      <c r="I270" s="12"/>
    </row>
    <row r="271" spans="2:9" x14ac:dyDescent="0.25">
      <c r="B271" s="148" t="s">
        <v>592</v>
      </c>
      <c r="C271" s="110" t="s">
        <v>50</v>
      </c>
      <c r="D271" s="110" t="s">
        <v>50</v>
      </c>
      <c r="E271" s="151">
        <f>E269*$E$4*10</f>
        <v>0</v>
      </c>
      <c r="F271" s="110" t="s">
        <v>50</v>
      </c>
      <c r="G271" s="152">
        <f>+E271</f>
        <v>0</v>
      </c>
      <c r="H271" s="153" t="s">
        <v>593</v>
      </c>
      <c r="I271" s="12"/>
    </row>
    <row r="272" spans="2:9" x14ac:dyDescent="0.25">
      <c r="B272" s="155" t="s">
        <v>594</v>
      </c>
      <c r="C272" s="168" t="s">
        <v>50</v>
      </c>
      <c r="D272" s="168" t="s">
        <v>50</v>
      </c>
      <c r="E272" s="169">
        <f>E269*$F$4*10</f>
        <v>0</v>
      </c>
      <c r="F272" s="168" t="s">
        <v>50</v>
      </c>
      <c r="G272" s="170">
        <f>+E272</f>
        <v>0</v>
      </c>
      <c r="H272" s="158" t="s">
        <v>595</v>
      </c>
      <c r="I272" s="12"/>
    </row>
    <row r="273" spans="1:9" x14ac:dyDescent="0.25">
      <c r="C273" s="12"/>
      <c r="D273" s="12"/>
      <c r="E273" s="12"/>
      <c r="F273" s="12"/>
      <c r="G273" s="12"/>
      <c r="H273" s="12"/>
      <c r="I273" s="12"/>
    </row>
    <row r="276" spans="1:9" s="82" customFormat="1" x14ac:dyDescent="0.25">
      <c r="A276" s="23" t="s">
        <v>671</v>
      </c>
    </row>
    <row r="278" spans="1:9" x14ac:dyDescent="0.25">
      <c r="A278" s="222" t="s">
        <v>672</v>
      </c>
      <c r="B278" s="222" t="s">
        <v>673</v>
      </c>
      <c r="C278" s="222" t="s">
        <v>704</v>
      </c>
      <c r="D278" s="1140" t="s">
        <v>708</v>
      </c>
      <c r="E278" s="1140"/>
      <c r="F278" s="459" t="s">
        <v>921</v>
      </c>
      <c r="G278" s="407" t="s">
        <v>911</v>
      </c>
    </row>
    <row r="279" spans="1:9" x14ac:dyDescent="0.25">
      <c r="A279" s="97"/>
      <c r="B279" s="97" t="s">
        <v>707</v>
      </c>
      <c r="C279" s="97" t="s">
        <v>705</v>
      </c>
      <c r="D279" s="1137" t="s">
        <v>711</v>
      </c>
      <c r="E279" s="1137"/>
      <c r="F279" s="461" t="s">
        <v>922</v>
      </c>
      <c r="G279" s="102" t="s">
        <v>995</v>
      </c>
    </row>
    <row r="280" spans="1:9" x14ac:dyDescent="0.25">
      <c r="A280" s="97"/>
      <c r="B280" s="97"/>
      <c r="C280" s="97" t="s">
        <v>706</v>
      </c>
      <c r="D280" s="221" t="s">
        <v>709</v>
      </c>
      <c r="E280" s="221" t="s">
        <v>710</v>
      </c>
      <c r="G280" s="97"/>
    </row>
    <row r="281" spans="1:9" x14ac:dyDescent="0.25">
      <c r="A281" s="108" t="s">
        <v>674</v>
      </c>
      <c r="B281" s="108">
        <v>762</v>
      </c>
      <c r="C281" s="225">
        <f>IF('Porc (Effluents)'!$D$11&lt;&gt;"",'Porc (Effluents)'!$D$11/$B$307,B281/$B$307)</f>
        <v>1.0090145148968679</v>
      </c>
      <c r="D281" s="225">
        <f t="shared" ref="D281:D306" si="12">C281*$D$312</f>
        <v>1.1200061115355235</v>
      </c>
      <c r="E281" s="225">
        <f t="shared" ref="E281:E306" si="13">C281*$D$313</f>
        <v>0.89802291825821245</v>
      </c>
      <c r="F281" s="456">
        <f>IF('Feuille saisie commune'!$F$23="Non",IF('Feuille saisie commune'!$F$22="Hiver/printemps",D281/C281,0))+IF('Feuille saisie commune'!$F$23="Non",IF('Feuille saisie commune'!$F$22="Fin été/début automne",Param_porcs!E281/C281,0))+IF('Feuille saisie commune'!$F$23="Non",IF('Feuille saisie commune'!$F$22="Moyenne annuelle",1,0))+IF('Feuille saisie commune'!$F$23="Oui",1,0)</f>
        <v>0.89</v>
      </c>
      <c r="G281" s="225">
        <f t="shared" ref="G281:G306" si="14">$C$309*C281</f>
        <v>8.4050909090909093E-2</v>
      </c>
    </row>
    <row r="282" spans="1:9" x14ac:dyDescent="0.25">
      <c r="A282" s="109" t="s">
        <v>675</v>
      </c>
      <c r="B282" s="109">
        <v>748</v>
      </c>
      <c r="C282" s="225">
        <f>IF('Porc (Effluents)'!$D$11&lt;&gt;"",'Porc (Effluents)'!$D$11/$B$307,B282/$B$307)</f>
        <v>0.9904761904761904</v>
      </c>
      <c r="D282" s="225">
        <f t="shared" si="12"/>
        <v>1.0994285714285714</v>
      </c>
      <c r="E282" s="225">
        <f t="shared" si="13"/>
        <v>0.88152380952380949</v>
      </c>
      <c r="F282" s="457">
        <f>IF('Feuille saisie commune'!$F$23="Non",IF('Feuille saisie commune'!$F$22="Hiver/printemps",D282/C282,0))+IF('Feuille saisie commune'!$F$23="Non",IF('Feuille saisie commune'!$F$22="Fin été/début automne",Param_porcs!E282/C282,0))+IF('Feuille saisie commune'!$F$23="Non",IF('Feuille saisie commune'!$F$22="Moyenne annuelle",1,0))+IF('Feuille saisie commune'!$F$23="Oui",1,0)</f>
        <v>0.89</v>
      </c>
      <c r="G282" s="225">
        <f t="shared" si="14"/>
        <v>8.2506666666666659E-2</v>
      </c>
    </row>
    <row r="283" spans="1:9" x14ac:dyDescent="0.25">
      <c r="A283" s="109" t="s">
        <v>1009</v>
      </c>
      <c r="B283" s="109">
        <v>618</v>
      </c>
      <c r="C283" s="225">
        <f>IF('Porc (Effluents)'!$D$11&lt;&gt;"",'Porc (Effluents)'!$D$11/$B$307,B283/$B$307)</f>
        <v>0.81833460656990065</v>
      </c>
      <c r="D283" s="225">
        <f t="shared" si="12"/>
        <v>0.90835141329258984</v>
      </c>
      <c r="E283" s="225">
        <f t="shared" si="13"/>
        <v>0.72831779984721157</v>
      </c>
      <c r="F283" s="457">
        <f>IF('Feuille saisie commune'!$F$23="Non",IF('Feuille saisie commune'!$F$22="Hiver/printemps",D283/C283,0))+IF('Feuille saisie commune'!$F$23="Non",IF('Feuille saisie commune'!$F$22="Fin été/début automne",Param_porcs!E283/C283,0))+IF('Feuille saisie commune'!$F$23="Non",IF('Feuille saisie commune'!$F$22="Moyenne annuelle",1,0))+IF('Feuille saisie commune'!$F$23="Oui",1,0)</f>
        <v>0.89</v>
      </c>
      <c r="G283" s="225">
        <f t="shared" si="14"/>
        <v>6.8167272727272729E-2</v>
      </c>
      <c r="H283" s="408" t="str">
        <f>'Feuille saisie commune'!F23</f>
        <v>Non</v>
      </c>
      <c r="I283" s="5" t="s">
        <v>923</v>
      </c>
    </row>
    <row r="284" spans="1:9" x14ac:dyDescent="0.25">
      <c r="A284" s="109" t="s">
        <v>676</v>
      </c>
      <c r="B284" s="109">
        <v>984</v>
      </c>
      <c r="C284" s="225">
        <f>IF('Porc (Effluents)'!$D$11&lt;&gt;"",'Porc (Effluents)'!$D$11/$B$307,B284/$B$307)</f>
        <v>1.3029793735676087</v>
      </c>
      <c r="D284" s="225">
        <f t="shared" si="12"/>
        <v>1.4463071046600458</v>
      </c>
      <c r="E284" s="225">
        <f t="shared" si="13"/>
        <v>1.1596516424751717</v>
      </c>
      <c r="F284" s="457">
        <f>IF('Feuille saisie commune'!$F$23="Non",IF('Feuille saisie commune'!$F$22="Hiver/printemps",D284/C284,0))+IF('Feuille saisie commune'!$F$23="Non",IF('Feuille saisie commune'!$F$22="Fin été/début automne",Param_porcs!E284/C284,0))+IF('Feuille saisie commune'!$F$23="Non",IF('Feuille saisie commune'!$F$22="Moyenne annuelle",1,0))+IF('Feuille saisie commune'!$F$23="Oui",1,0)</f>
        <v>0.8899999999999999</v>
      </c>
      <c r="G284" s="225">
        <f t="shared" si="14"/>
        <v>0.10853818181818181</v>
      </c>
      <c r="H284" s="409">
        <f>1-C309</f>
        <v>0.91669999999999996</v>
      </c>
      <c r="I284" s="407" t="s">
        <v>917</v>
      </c>
    </row>
    <row r="285" spans="1:9" x14ac:dyDescent="0.25">
      <c r="A285" s="109" t="s">
        <v>677</v>
      </c>
      <c r="B285" s="109">
        <v>732</v>
      </c>
      <c r="C285" s="225">
        <f>IF('Porc (Effluents)'!$D$11&lt;&gt;"",'Porc (Effluents)'!$D$11/$B$307,B285/$B$307)</f>
        <v>0.96928953399541629</v>
      </c>
      <c r="D285" s="225">
        <f t="shared" si="12"/>
        <v>1.0759113827349123</v>
      </c>
      <c r="E285" s="225">
        <f t="shared" si="13"/>
        <v>0.86266768525592052</v>
      </c>
      <c r="F285" s="457">
        <f>IF('Feuille saisie commune'!$F$23="Non",IF('Feuille saisie commune'!$F$22="Hiver/printemps",D285/C285,0))+IF('Feuille saisie commune'!$F$23="Non",IF('Feuille saisie commune'!$F$22="Fin été/début automne",Param_porcs!E285/C285,0))+IF('Feuille saisie commune'!$F$23="Non",IF('Feuille saisie commune'!$F$22="Moyenne annuelle",1,0))+IF('Feuille saisie commune'!$F$23="Oui",1,0)</f>
        <v>0.89</v>
      </c>
      <c r="G285" s="225">
        <f t="shared" si="14"/>
        <v>8.0741818181818178E-2</v>
      </c>
      <c r="H285" s="460">
        <f>IF('Feuille saisie commune'!$F$21="Abbeville", Param_porcs!$F$281,0)+IF('Feuille saisie commune'!$F$21="Agen",Param_porcs!$F$282,0)+IF('Feuille saisie commune'!$F$21="Angers",Param_porcs!$F$283,0)+IF('Feuille saisie commune'!$F$21="Bordeaux",Param_porcs!$F$284,0)+IF('Feuille saisie commune'!$F$21="Bourges", Param_porcs!$F$285,0)+IF('Feuille saisie commune'!$F$21="Brest",Param_porcs!$F$286,0)+IF('Feuille saisie commune'!$F$21="Caen",Param_porcs!$F$287,0)+IF('Feuille saisie commune'!$F$21="Clermont-Ferrand",Param_porcs!$F$288,0)+IF('Feuille saisie commune'!$F$21="Dijon", Param_porcs!$F$289,0)+IF('Feuille saisie commune'!$F$21="Grenoble",Param_porcs!$F$290,0)+IF('Feuille saisie commune'!$F$21="Le Mans", Param_porcs!$F$291,0)+IF('Feuille saisie commune'!$F$21="Lille",Param_porcs!$F$292,0)+IF('Feuille saisie commune'!$F$21="Limoges", Param_porcs!$F$293,0)+IF('Feuille saisie commune'!$F$21="Lyon",Param_porcs!$F$294,0)+IF('Feuille saisie commune'!$F$21="Montpellier", Param_porcs!$F$295,0)+IF('Feuille saisie commune'!$F$21="Nancy",Param_porcs!$F$296,0)+IF('Feuille saisie commune'!$F$21="Nantes", Param_porcs!$F$297,0)+IF('Feuille saisie commune'!$F$21="Nice",Param_porcs!$F$298,0)+IF('Feuille saisie commune'!$F$21="Orléans", Param_porcs!$F$299,0)+IF('Feuille saisie commune'!$F$21="Paris",Param_porcs!$F$300,0)+IF('Feuille saisie commune'!$F$21="Poitiers", Param_porcs!$F$301,0)+IF('Feuille saisie commune'!$F$21="Rennes",Param_porcs!$F$302,0)+IF('Feuille saisie commune'!$F$21="St Brieuc", Param_porcs!$F$303,0)+IF('Feuille saisie commune'!$F$21="Strasbourg",Param_porcs!$F$304,0)+IF('Feuille saisie commune'!$F$21="Toulouse", Param_porcs!$F$305,0)+IF('Feuille saisie commune'!$F$21="Tours",Param_porcs!$F$306,0)</f>
        <v>0.89</v>
      </c>
      <c r="I285" s="5" t="s">
        <v>996</v>
      </c>
    </row>
    <row r="286" spans="1:9" x14ac:dyDescent="0.25">
      <c r="A286" s="109" t="s">
        <v>678</v>
      </c>
      <c r="B286" s="109">
        <v>1109</v>
      </c>
      <c r="C286" s="225">
        <f>IF('Porc (Effluents)'!$D$11&lt;&gt;"",'Porc (Effluents)'!$D$11/$B$307,B286/$B$307)</f>
        <v>1.4685001273236566</v>
      </c>
      <c r="D286" s="455">
        <f t="shared" si="12"/>
        <v>1.6300351413292591</v>
      </c>
      <c r="E286" s="225">
        <f t="shared" si="13"/>
        <v>1.3069651133180544</v>
      </c>
      <c r="F286" s="457">
        <f>IF('Feuille saisie commune'!$F$23="Non",IF('Feuille saisie commune'!$F$22="Hiver/printemps",D286/C286,0))+IF('Feuille saisie commune'!$F$23="Non",IF('Feuille saisie commune'!$F$22="Fin été/début automne",Param_porcs!E286/C286,0))+IF('Feuille saisie commune'!$F$23="Non",IF('Feuille saisie commune'!$F$22="Moyenne annuelle",1,0))+IF('Feuille saisie commune'!$F$23="Oui",1,0)</f>
        <v>0.89</v>
      </c>
      <c r="G286" s="225">
        <f t="shared" si="14"/>
        <v>0.12232606060606059</v>
      </c>
      <c r="H286" s="409">
        <f>IF('Feuille saisie commune'!$F$21="Abbeville", Param_porcs!$C$281,0)+IF('Feuille saisie commune'!$F$21="Agen",Param_porcs!$C$282,0)+IF('Feuille saisie commune'!$F$21="Angers",Param_porcs!$C$283,0)+IF('Feuille saisie commune'!$F$21="Bordeaux",Param_porcs!$C$284,0)+IF('Feuille saisie commune'!$F$21="Bourges", Param_porcs!$C$285,0)+IF('Feuille saisie commune'!$F$21="Brest",Param_porcs!$C$286,0)+IF('Feuille saisie commune'!$F$21="Caen",Param_porcs!$C$287,0)+IF('Feuille saisie commune'!$F$21="Clermont-Ferrand",Param_porcs!$C$288,0)+IF('Feuille saisie commune'!$F$21="Dijon", Param_porcs!$C$289,0)+IF('Feuille saisie commune'!$F$21="Grenoble",Param_porcs!$C$290,0)+IF('Feuille saisie commune'!$F$21="Le Mans", Param_porcs!$C$291,0)+IF('Feuille saisie commune'!$F$21="Lille",Param_porcs!$C$292,0)+IF('Feuille saisie commune'!$F$21="Limoges", Param_porcs!$C$293,0)+IF('Feuille saisie commune'!$F$21="Lyon",Param_porcs!$C$294,0)+IF('Feuille saisie commune'!$F$21="Montpellier", Param_porcs!$C$295,0)+IF('Feuille saisie commune'!$F$21="Nancy",Param_porcs!$C$296,0)+IF('Feuille saisie commune'!$F$21="Nantes", Param_porcs!$C$297,0)+IF('Feuille saisie commune'!$F$21="Nice",Param_porcs!$C$298,0)+IF('Feuille saisie commune'!$F$21="Orléans", Param_porcs!$C$299,0)+IF('Feuille saisie commune'!$F$21="Paris",Param_porcs!$C$300,0)+IF('Feuille saisie commune'!$F$21="Poitiers", Param_porcs!$C$301,0)+IF('Feuille saisie commune'!$F$21="Rennes",Param_porcs!$C$302,0)+IF('Feuille saisie commune'!$F$21="St Brieuc", Param_porcs!$C$303,0)+IF('Feuille saisie commune'!$F$21="Strasbourg",Param_porcs!$C$304,0)+IF('Feuille saisie commune'!$F$21="Toulouse", Param_porcs!$C$305,0)+IF('Feuille saisie commune'!$F$21="Tours",Param_porcs!$C$306,0)</f>
        <v>0.97855869620575497</v>
      </c>
      <c r="I286" s="407" t="s">
        <v>918</v>
      </c>
    </row>
    <row r="287" spans="1:9" x14ac:dyDescent="0.25">
      <c r="A287" s="109" t="s">
        <v>679</v>
      </c>
      <c r="B287" s="109">
        <v>711</v>
      </c>
      <c r="C287" s="225">
        <f>IF('Porc (Effluents)'!$D$11&lt;&gt;"",'Porc (Effluents)'!$D$11/$B$307,B287/$B$307)</f>
        <v>0.94148204736440022</v>
      </c>
      <c r="D287" s="225">
        <f t="shared" si="12"/>
        <v>1.0450450725744844</v>
      </c>
      <c r="E287" s="225">
        <f t="shared" si="13"/>
        <v>0.83791902215431624</v>
      </c>
      <c r="F287" s="457">
        <f>IF('Feuille saisie commune'!$F$23="Non",IF('Feuille saisie commune'!$F$22="Hiver/printemps",D287/C287,0))+IF('Feuille saisie commune'!$F$23="Non",IF('Feuille saisie commune'!$F$22="Fin été/début automne",Param_porcs!E287/C287,0))+IF('Feuille saisie commune'!$F$23="Non",IF('Feuille saisie commune'!$F$22="Moyenne annuelle",1,0))+IF('Feuille saisie commune'!$F$23="Oui",1,0)</f>
        <v>0.89</v>
      </c>
      <c r="G287" s="225">
        <f t="shared" si="14"/>
        <v>7.8425454545454534E-2</v>
      </c>
      <c r="H287" s="462"/>
      <c r="I287" s="277"/>
    </row>
    <row r="288" spans="1:9" x14ac:dyDescent="0.25">
      <c r="A288" s="109" t="s">
        <v>680</v>
      </c>
      <c r="B288" s="109">
        <v>591</v>
      </c>
      <c r="C288" s="225">
        <f>IF('Porc (Effluents)'!$D$11&lt;&gt;"",'Porc (Effluents)'!$D$11/$B$307,B288/$B$307)</f>
        <v>0.78258212375859426</v>
      </c>
      <c r="D288" s="225">
        <f t="shared" si="12"/>
        <v>0.86866615737203967</v>
      </c>
      <c r="E288" s="225">
        <f t="shared" si="13"/>
        <v>0.69649809014514885</v>
      </c>
      <c r="F288" s="457">
        <f>IF('Feuille saisie commune'!$F$23="Non",IF('Feuille saisie commune'!$F$22="Hiver/printemps",D288/C288,0))+IF('Feuille saisie commune'!$F$23="Non",IF('Feuille saisie commune'!$F$22="Fin été/début automne",Param_porcs!E288/C288,0))+IF('Feuille saisie commune'!$F$23="Non",IF('Feuille saisie commune'!$F$22="Moyenne annuelle",1,0))+IF('Feuille saisie commune'!$F$23="Oui",1,0)</f>
        <v>0.8899999999999999</v>
      </c>
      <c r="G288" s="225">
        <f t="shared" si="14"/>
        <v>6.5189090909090905E-2</v>
      </c>
      <c r="H288" s="277"/>
      <c r="I288" s="277"/>
    </row>
    <row r="289" spans="1:10" x14ac:dyDescent="0.25">
      <c r="A289" s="109" t="s">
        <v>681</v>
      </c>
      <c r="B289" s="109">
        <v>744</v>
      </c>
      <c r="C289" s="225">
        <f>IF('Porc (Effluents)'!$D$11&lt;&gt;"",'Porc (Effluents)'!$D$11/$B$307,B289/$B$307)</f>
        <v>0.98517952635599693</v>
      </c>
      <c r="D289" s="225">
        <f t="shared" si="12"/>
        <v>1.0935492742551567</v>
      </c>
      <c r="E289" s="225">
        <f t="shared" si="13"/>
        <v>0.87680977845683727</v>
      </c>
      <c r="F289" s="457">
        <f>IF('Feuille saisie commune'!$F$23="Non",IF('Feuille saisie commune'!$F$22="Hiver/printemps",D289/C289,0))+IF('Feuille saisie commune'!$F$23="Non",IF('Feuille saisie commune'!$F$22="Fin été/début automne",Param_porcs!E289/C289,0))+IF('Feuille saisie commune'!$F$23="Non",IF('Feuille saisie commune'!$F$22="Moyenne annuelle",1,0))+IF('Feuille saisie commune'!$F$23="Oui",1,0)</f>
        <v>0.89</v>
      </c>
      <c r="G289" s="225">
        <f t="shared" si="14"/>
        <v>8.2065454545454539E-2</v>
      </c>
      <c r="H289" s="410" t="str">
        <f>'Feuille saisie commune'!F21</f>
        <v>St Brieuc</v>
      </c>
      <c r="I289" s="411"/>
      <c r="J289" s="291" t="s">
        <v>925</v>
      </c>
    </row>
    <row r="290" spans="1:10" x14ac:dyDescent="0.25">
      <c r="A290" s="109" t="s">
        <v>682</v>
      </c>
      <c r="B290" s="109">
        <v>965</v>
      </c>
      <c r="C290" s="225">
        <f>IF('Porc (Effluents)'!$D$11&lt;&gt;"",'Porc (Effluents)'!$D$11/$B$307,B290/$B$307)</f>
        <v>1.2778202189966894</v>
      </c>
      <c r="D290" s="225">
        <f t="shared" si="12"/>
        <v>1.4183804430863254</v>
      </c>
      <c r="E290" s="225">
        <f t="shared" si="13"/>
        <v>1.1372599949070537</v>
      </c>
      <c r="F290" s="457">
        <f>IF('Feuille saisie commune'!$F$23="Non",IF('Feuille saisie commune'!$F$22="Hiver/printemps",D290/C290,0))+IF('Feuille saisie commune'!$F$23="Non",IF('Feuille saisie commune'!$F$22="Fin été/début automne",Param_porcs!E290/C290,0))+IF('Feuille saisie commune'!$F$23="Non",IF('Feuille saisie commune'!$F$22="Moyenne annuelle",1,0))+IF('Feuille saisie commune'!$F$23="Oui",1,0)</f>
        <v>0.89</v>
      </c>
      <c r="G290" s="225">
        <f t="shared" si="14"/>
        <v>0.10644242424242423</v>
      </c>
      <c r="H290" s="412" t="str">
        <f>'Feuille saisie commune'!F22</f>
        <v>Fin été/début automne</v>
      </c>
      <c r="I290" s="413"/>
      <c r="J290" s="291" t="s">
        <v>924</v>
      </c>
    </row>
    <row r="291" spans="1:10" x14ac:dyDescent="0.25">
      <c r="A291" s="109" t="s">
        <v>683</v>
      </c>
      <c r="B291" s="109">
        <v>678</v>
      </c>
      <c r="C291" s="225">
        <f>IF('Porc (Effluents)'!$D$11&lt;&gt;"",'Porc (Effluents)'!$D$11/$B$307,B291/$B$307)</f>
        <v>0.89778456837280363</v>
      </c>
      <c r="D291" s="225">
        <f t="shared" si="12"/>
        <v>0.99654087089381216</v>
      </c>
      <c r="E291" s="225">
        <f t="shared" si="13"/>
        <v>0.79902826585179521</v>
      </c>
      <c r="F291" s="457">
        <f>IF('Feuille saisie commune'!$F$23="Non",IF('Feuille saisie commune'!$F$22="Hiver/printemps",D291/C291,0))+IF('Feuille saisie commune'!$F$23="Non",IF('Feuille saisie commune'!$F$22="Fin été/début automne",Param_porcs!E291/C291,0))+IF('Feuille saisie commune'!$F$23="Non",IF('Feuille saisie commune'!$F$22="Moyenne annuelle",1,0))+IF('Feuille saisie commune'!$F$23="Oui",1,0)</f>
        <v>0.89</v>
      </c>
      <c r="G291" s="225">
        <f t="shared" si="14"/>
        <v>7.4785454545454544E-2</v>
      </c>
    </row>
    <row r="292" spans="1:10" x14ac:dyDescent="0.25">
      <c r="A292" s="109" t="s">
        <v>684</v>
      </c>
      <c r="B292" s="109">
        <v>723</v>
      </c>
      <c r="C292" s="225">
        <f>IF('Porc (Effluents)'!$D$11&lt;&gt;"",'Porc (Effluents)'!$D$11/$B$307,B292/$B$307)</f>
        <v>0.95737203972498086</v>
      </c>
      <c r="D292" s="225">
        <f t="shared" si="12"/>
        <v>1.0626829640947288</v>
      </c>
      <c r="E292" s="225">
        <f t="shared" si="13"/>
        <v>0.85206111535523299</v>
      </c>
      <c r="F292" s="457">
        <f>IF('Feuille saisie commune'!$F$23="Non",IF('Feuille saisie commune'!$F$22="Hiver/printemps",D292/C292,0))+IF('Feuille saisie commune'!$F$23="Non",IF('Feuille saisie commune'!$F$22="Fin été/début automne",Param_porcs!E292/C292,0))+IF('Feuille saisie commune'!$F$23="Non",IF('Feuille saisie commune'!$F$22="Moyenne annuelle",1,0))+IF('Feuille saisie commune'!$F$23="Oui",1,0)</f>
        <v>0.89</v>
      </c>
      <c r="G292" s="225">
        <f t="shared" si="14"/>
        <v>7.9749090909090908E-2</v>
      </c>
    </row>
    <row r="293" spans="1:10" x14ac:dyDescent="0.25">
      <c r="A293" s="109" t="s">
        <v>685</v>
      </c>
      <c r="B293" s="109">
        <v>1023</v>
      </c>
      <c r="C293" s="225">
        <f>IF('Porc (Effluents)'!$D$11&lt;&gt;"",'Porc (Effluents)'!$D$11/$B$307,B293/$B$307)</f>
        <v>1.3546218487394956</v>
      </c>
      <c r="D293" s="225">
        <f t="shared" si="12"/>
        <v>1.5036302521008402</v>
      </c>
      <c r="E293" s="225">
        <f t="shared" si="13"/>
        <v>1.2056134453781511</v>
      </c>
      <c r="F293" s="457">
        <f>IF('Feuille saisie commune'!$F$23="Non",IF('Feuille saisie commune'!$F$22="Hiver/printemps",D293/C293,0))+IF('Feuille saisie commune'!$F$23="Non",IF('Feuille saisie commune'!$F$22="Fin été/début automne",Param_porcs!E293/C293,0))+IF('Feuille saisie commune'!$F$23="Non",IF('Feuille saisie commune'!$F$22="Moyenne annuelle",1,0))+IF('Feuille saisie commune'!$F$23="Oui",1,0)</f>
        <v>0.89</v>
      </c>
      <c r="G293" s="225">
        <f t="shared" si="14"/>
        <v>0.11283999999999998</v>
      </c>
    </row>
    <row r="294" spans="1:10" x14ac:dyDescent="0.25">
      <c r="A294" s="109" t="s">
        <v>686</v>
      </c>
      <c r="B294" s="109">
        <v>843</v>
      </c>
      <c r="C294" s="225">
        <f>IF('Porc (Effluents)'!$D$11&lt;&gt;"",'Porc (Effluents)'!$D$11/$B$307,B294/$B$307)</f>
        <v>1.1162719633307867</v>
      </c>
      <c r="D294" s="225">
        <f t="shared" si="12"/>
        <v>1.2390618792971733</v>
      </c>
      <c r="E294" s="225">
        <f t="shared" si="13"/>
        <v>0.99348204736440016</v>
      </c>
      <c r="F294" s="457">
        <f>IF('Feuille saisie commune'!$F$23="Non",IF('Feuille saisie commune'!$F$22="Hiver/printemps",D294/C294,0))+IF('Feuille saisie commune'!$F$23="Non",IF('Feuille saisie commune'!$F$22="Fin été/début automne",Param_porcs!E294/C294,0))+IF('Feuille saisie commune'!$F$23="Non",IF('Feuille saisie commune'!$F$22="Moyenne annuelle",1,0))+IF('Feuille saisie commune'!$F$23="Oui",1,0)</f>
        <v>0.89</v>
      </c>
      <c r="G294" s="225">
        <f t="shared" si="14"/>
        <v>9.2985454545454538E-2</v>
      </c>
    </row>
    <row r="295" spans="1:10" x14ac:dyDescent="0.25">
      <c r="A295" s="109" t="s">
        <v>687</v>
      </c>
      <c r="B295" s="109">
        <v>654</v>
      </c>
      <c r="C295" s="225">
        <f>IF('Porc (Effluents)'!$D$11&lt;&gt;"",'Porc (Effluents)'!$D$11/$B$307,B295/$B$307)</f>
        <v>0.86600458365164246</v>
      </c>
      <c r="D295" s="225">
        <f t="shared" si="12"/>
        <v>0.96126508785332321</v>
      </c>
      <c r="E295" s="455">
        <f t="shared" si="13"/>
        <v>0.77074407944996182</v>
      </c>
      <c r="F295" s="457">
        <f>IF('Feuille saisie commune'!$F$23="Non",IF('Feuille saisie commune'!$F$22="Hiver/printemps",D295/C295,0))+IF('Feuille saisie commune'!$F$23="Non",IF('Feuille saisie commune'!$F$22="Fin été/début automne",Param_porcs!E295/C295,0))+IF('Feuille saisie commune'!$F$23="Non",IF('Feuille saisie commune'!$F$22="Moyenne annuelle",1,0))+IF('Feuille saisie commune'!$F$23="Oui",1,0)</f>
        <v>0.89</v>
      </c>
      <c r="G295" s="225">
        <f t="shared" si="14"/>
        <v>7.213818181818181E-2</v>
      </c>
    </row>
    <row r="296" spans="1:10" x14ac:dyDescent="0.25">
      <c r="A296" s="109" t="s">
        <v>688</v>
      </c>
      <c r="B296" s="109">
        <v>765</v>
      </c>
      <c r="C296" s="225">
        <f>IF('Porc (Effluents)'!$D$11&lt;&gt;"",'Porc (Effluents)'!$D$11/$B$307,B296/$B$307)</f>
        <v>1.0129870129870129</v>
      </c>
      <c r="D296" s="225">
        <f t="shared" si="12"/>
        <v>1.1244155844155843</v>
      </c>
      <c r="E296" s="225">
        <f t="shared" si="13"/>
        <v>0.90155844155844145</v>
      </c>
      <c r="F296" s="457">
        <f>IF('Feuille saisie commune'!$F$23="Non",IF('Feuille saisie commune'!$F$22="Hiver/printemps",D296/C296,0))+IF('Feuille saisie commune'!$F$23="Non",IF('Feuille saisie commune'!$F$22="Fin été/début automne",Param_porcs!E296/C296,0))+IF('Feuille saisie commune'!$F$23="Non",IF('Feuille saisie commune'!$F$22="Moyenne annuelle",1,0))+IF('Feuille saisie commune'!$F$23="Oui",1,0)</f>
        <v>0.89</v>
      </c>
      <c r="G296" s="225">
        <f t="shared" si="14"/>
        <v>8.4381818181818169E-2</v>
      </c>
    </row>
    <row r="297" spans="1:10" x14ac:dyDescent="0.25">
      <c r="A297" s="109" t="s">
        <v>689</v>
      </c>
      <c r="B297" s="109">
        <v>788</v>
      </c>
      <c r="C297" s="225">
        <f>IF('Porc (Effluents)'!$D$11&lt;&gt;"",'Porc (Effluents)'!$D$11/$B$307,B297/$B$307)</f>
        <v>1.0434428316781257</v>
      </c>
      <c r="D297" s="225">
        <f t="shared" si="12"/>
        <v>1.1582215431627196</v>
      </c>
      <c r="E297" s="225">
        <f t="shared" si="13"/>
        <v>0.92866412019353184</v>
      </c>
      <c r="F297" s="457">
        <f>IF('Feuille saisie commune'!$F$23="Non",IF('Feuille saisie commune'!$F$22="Hiver/printemps",D297/C297,0))+IF('Feuille saisie commune'!$F$23="Non",IF('Feuille saisie commune'!$F$22="Fin été/début automne",Param_porcs!E297/C297,0))+IF('Feuille saisie commune'!$F$23="Non",IF('Feuille saisie commune'!$F$22="Moyenne annuelle",1,0))+IF('Feuille saisie commune'!$F$23="Oui",1,0)</f>
        <v>0.89</v>
      </c>
      <c r="G297" s="225">
        <f t="shared" si="14"/>
        <v>8.6918787878787873E-2</v>
      </c>
    </row>
    <row r="298" spans="1:10" x14ac:dyDescent="0.25">
      <c r="A298" s="109" t="s">
        <v>690</v>
      </c>
      <c r="B298" s="109">
        <v>803</v>
      </c>
      <c r="C298" s="225">
        <f>IF('Porc (Effluents)'!$D$11&lt;&gt;"",'Porc (Effluents)'!$D$11/$B$307,B298/$B$307)</f>
        <v>1.0633053221288515</v>
      </c>
      <c r="D298" s="225">
        <f t="shared" si="12"/>
        <v>1.1802689075630253</v>
      </c>
      <c r="E298" s="225">
        <f t="shared" si="13"/>
        <v>0.94634173669467792</v>
      </c>
      <c r="F298" s="457">
        <f>IF('Feuille saisie commune'!$F$23="Non",IF('Feuille saisie commune'!$F$22="Hiver/printemps",D298/C298,0))+IF('Feuille saisie commune'!$F$23="Non",IF('Feuille saisie commune'!$F$22="Fin été/début automne",Param_porcs!E298/C298,0))+IF('Feuille saisie commune'!$F$23="Non",IF('Feuille saisie commune'!$F$22="Moyenne annuelle",1,0))+IF('Feuille saisie commune'!$F$23="Oui",1,0)</f>
        <v>0.89</v>
      </c>
      <c r="G298" s="225">
        <f t="shared" si="14"/>
        <v>8.8573333333333337E-2</v>
      </c>
    </row>
    <row r="299" spans="1:10" x14ac:dyDescent="0.25">
      <c r="A299" s="109" t="s">
        <v>691</v>
      </c>
      <c r="B299" s="109">
        <v>636</v>
      </c>
      <c r="C299" s="225">
        <f>IF('Porc (Effluents)'!$D$11&lt;&gt;"",'Porc (Effluents)'!$D$11/$B$307,B299/$B$307)</f>
        <v>0.8421695951107715</v>
      </c>
      <c r="D299" s="225">
        <f t="shared" si="12"/>
        <v>0.93480825057295647</v>
      </c>
      <c r="E299" s="225">
        <f t="shared" si="13"/>
        <v>0.74953093964858664</v>
      </c>
      <c r="F299" s="457">
        <f>IF('Feuille saisie commune'!$F$23="Non",IF('Feuille saisie commune'!$F$22="Hiver/printemps",D299/C299,0))+IF('Feuille saisie commune'!$F$23="Non",IF('Feuille saisie commune'!$F$22="Fin été/début automne",Param_porcs!E299/C299,0))+IF('Feuille saisie commune'!$F$23="Non",IF('Feuille saisie commune'!$F$22="Moyenne annuelle",1,0))+IF('Feuille saisie commune'!$F$23="Oui",1,0)</f>
        <v>0.89</v>
      </c>
      <c r="G299" s="225">
        <f t="shared" si="14"/>
        <v>7.0152727272727269E-2</v>
      </c>
    </row>
    <row r="300" spans="1:10" x14ac:dyDescent="0.25">
      <c r="A300" s="109" t="s">
        <v>692</v>
      </c>
      <c r="B300" s="109">
        <v>650</v>
      </c>
      <c r="C300" s="225">
        <f>IF('Porc (Effluents)'!$D$11&lt;&gt;"",'Porc (Effluents)'!$D$11/$B$307,B300/$B$307)</f>
        <v>0.86070791953144887</v>
      </c>
      <c r="D300" s="225">
        <f t="shared" si="12"/>
        <v>0.95538579067990836</v>
      </c>
      <c r="E300" s="225">
        <f t="shared" si="13"/>
        <v>0.76603004838298949</v>
      </c>
      <c r="F300" s="457">
        <f>IF('Feuille saisie commune'!$F$23="Non",IF('Feuille saisie commune'!$F$22="Hiver/printemps",D300/C300,0))+IF('Feuille saisie commune'!$F$23="Non",IF('Feuille saisie commune'!$F$22="Fin été/début automne",Param_porcs!E300/C300,0))+IF('Feuille saisie commune'!$F$23="Non",IF('Feuille saisie commune'!$F$22="Moyenne annuelle",1,0))+IF('Feuille saisie commune'!$F$23="Oui",1,0)</f>
        <v>0.89</v>
      </c>
      <c r="G300" s="225">
        <f t="shared" si="14"/>
        <v>7.169696969696969E-2</v>
      </c>
    </row>
    <row r="301" spans="1:10" x14ac:dyDescent="0.25">
      <c r="A301" s="109" t="s">
        <v>693</v>
      </c>
      <c r="B301" s="109">
        <v>687</v>
      </c>
      <c r="C301" s="225">
        <f>IF('Porc (Effluents)'!$D$11&lt;&gt;"",'Porc (Effluents)'!$D$11/$B$307,B301/$B$307)</f>
        <v>0.90970206264323905</v>
      </c>
      <c r="D301" s="225">
        <f t="shared" si="12"/>
        <v>1.0097692895339954</v>
      </c>
      <c r="E301" s="225">
        <f t="shared" si="13"/>
        <v>0.80963483575248274</v>
      </c>
      <c r="F301" s="457">
        <f>IF('Feuille saisie commune'!$F$23="Non",IF('Feuille saisie commune'!$F$22="Hiver/printemps",D301/C301,0))+IF('Feuille saisie commune'!$F$23="Non",IF('Feuille saisie commune'!$F$22="Fin été/début automne",Param_porcs!E301/C301,0))+IF('Feuille saisie commune'!$F$23="Non",IF('Feuille saisie commune'!$F$22="Moyenne annuelle",1,0))+IF('Feuille saisie commune'!$F$23="Oui",1,0)</f>
        <v>0.89</v>
      </c>
      <c r="G301" s="225">
        <f t="shared" si="14"/>
        <v>7.5778181818181814E-2</v>
      </c>
    </row>
    <row r="302" spans="1:10" x14ac:dyDescent="0.25">
      <c r="A302" s="109" t="s">
        <v>694</v>
      </c>
      <c r="B302" s="109">
        <v>649</v>
      </c>
      <c r="C302" s="225">
        <f>IF('Porc (Effluents)'!$D$11&lt;&gt;"",'Porc (Effluents)'!$D$11/$B$307,B302/$B$307)</f>
        <v>0.8593837535014005</v>
      </c>
      <c r="D302" s="225">
        <f t="shared" si="12"/>
        <v>0.95391596638655463</v>
      </c>
      <c r="E302" s="225">
        <f t="shared" si="13"/>
        <v>0.76485154061624649</v>
      </c>
      <c r="F302" s="457">
        <f>IF('Feuille saisie commune'!$F$23="Non",IF('Feuille saisie commune'!$F$22="Hiver/printemps",D302/C302,0))+IF('Feuille saisie commune'!$F$23="Non",IF('Feuille saisie commune'!$F$22="Fin été/début automne",Param_porcs!E302/C302,0))+IF('Feuille saisie commune'!$F$23="Non",IF('Feuille saisie commune'!$F$22="Moyenne annuelle",1,0))+IF('Feuille saisie commune'!$F$23="Oui",1,0)</f>
        <v>0.89</v>
      </c>
      <c r="G302" s="225">
        <f t="shared" si="14"/>
        <v>7.158666666666666E-2</v>
      </c>
    </row>
    <row r="303" spans="1:10" x14ac:dyDescent="0.25">
      <c r="A303" s="109" t="s">
        <v>695</v>
      </c>
      <c r="B303" s="109">
        <v>739</v>
      </c>
      <c r="C303" s="225">
        <f>IF('Porc (Effluents)'!$D$11&lt;&gt;"",'Porc (Effluents)'!$D$11/$B$307,B303/$B$307)</f>
        <v>0.97855869620575497</v>
      </c>
      <c r="D303" s="225">
        <f>C303*$D$312</f>
        <v>1.0862001527883882</v>
      </c>
      <c r="E303" s="225">
        <f t="shared" si="13"/>
        <v>0.87091723962312195</v>
      </c>
      <c r="F303" s="457">
        <f>IF('Feuille saisie commune'!$F$23="Non",IF('Feuille saisie commune'!$F$22="Hiver/printemps",D303/C303,0))+IF('Feuille saisie commune'!$F$23="Non",IF('Feuille saisie commune'!$F$22="Fin été/début automne",Param_porcs!E303/C303,0))+IF('Feuille saisie commune'!$F$23="Non",IF('Feuille saisie commune'!$F$22="Moyenne annuelle",1,0))+IF('Feuille saisie commune'!$F$23="Oui",1,0)</f>
        <v>0.89</v>
      </c>
      <c r="G303" s="225">
        <f t="shared" si="14"/>
        <v>8.1513939393939389E-2</v>
      </c>
    </row>
    <row r="304" spans="1:10" x14ac:dyDescent="0.25">
      <c r="A304" s="109" t="s">
        <v>1010</v>
      </c>
      <c r="B304" s="109">
        <v>728</v>
      </c>
      <c r="C304" s="225">
        <f>IF('Porc (Effluents)'!$D$11&lt;&gt;"",'Porc (Effluents)'!$D$11/$B$307,B304/$B$307)</f>
        <v>0.96399286987522281</v>
      </c>
      <c r="D304" s="225">
        <f t="shared" si="12"/>
        <v>1.0700320855614973</v>
      </c>
      <c r="E304" s="225">
        <f t="shared" si="13"/>
        <v>0.85795365418894831</v>
      </c>
      <c r="F304" s="457">
        <f>IF('Feuille saisie commune'!$F$23="Non",IF('Feuille saisie commune'!$F$22="Hiver/printemps",D304/C304,0))+IF('Feuille saisie commune'!$F$23="Non",IF('Feuille saisie commune'!$F$22="Fin été/début automne",Param_porcs!E304/C304,0))+IF('Feuille saisie commune'!$F$23="Non",IF('Feuille saisie commune'!$F$22="Moyenne annuelle",1,0))+IF('Feuille saisie commune'!$F$23="Oui",1,0)</f>
        <v>0.89</v>
      </c>
      <c r="G304" s="225">
        <f t="shared" si="14"/>
        <v>8.0300606060606058E-2</v>
      </c>
    </row>
    <row r="305" spans="1:7" x14ac:dyDescent="0.25">
      <c r="A305" s="109" t="s">
        <v>696</v>
      </c>
      <c r="B305" s="109">
        <v>611</v>
      </c>
      <c r="C305" s="225">
        <f>IF('Porc (Effluents)'!$D$11&lt;&gt;"",'Porc (Effluents)'!$D$11/$B$307,B305/$B$307)</f>
        <v>0.80906544435956196</v>
      </c>
      <c r="D305" s="225">
        <f t="shared" si="12"/>
        <v>0.89806264323911389</v>
      </c>
      <c r="E305" s="225">
        <f t="shared" si="13"/>
        <v>0.72006824548001014</v>
      </c>
      <c r="F305" s="457">
        <f>IF('Feuille saisie commune'!$F$23="Non",IF('Feuille saisie commune'!$F$22="Hiver/printemps",D305/C305,0))+IF('Feuille saisie commune'!$F$23="Non",IF('Feuille saisie commune'!$F$22="Fin été/début automne",Param_porcs!E305/C305,0))+IF('Feuille saisie commune'!$F$23="Non",IF('Feuille saisie commune'!$F$22="Moyenne annuelle",1,0))+IF('Feuille saisie commune'!$F$23="Oui",1,0)</f>
        <v>0.89</v>
      </c>
      <c r="G305" s="225">
        <f t="shared" si="14"/>
        <v>6.7395151515151505E-2</v>
      </c>
    </row>
    <row r="306" spans="1:7" x14ac:dyDescent="0.25">
      <c r="A306" s="202" t="s">
        <v>698</v>
      </c>
      <c r="B306" s="202">
        <v>694</v>
      </c>
      <c r="C306" s="225">
        <f>IF('Porc (Effluents)'!$D$11&lt;&gt;"",'Porc (Effluents)'!$D$11/$B$307,B306/$B$307)</f>
        <v>0.91897122485357774</v>
      </c>
      <c r="D306" s="225">
        <f t="shared" si="12"/>
        <v>1.0200580595874713</v>
      </c>
      <c r="E306" s="225">
        <f t="shared" si="13"/>
        <v>0.81788439011968417</v>
      </c>
      <c r="F306" s="458">
        <f>IF('Feuille saisie commune'!$F$23="Non",IF('Feuille saisie commune'!$F$22="Hiver/printemps",D306/C306,0))+IF('Feuille saisie commune'!$F$23="Non",IF('Feuille saisie commune'!$F$22="Fin été/début automne",Param_porcs!E306/C306,0))+IF('Feuille saisie commune'!$F$23="Non",IF('Feuille saisie commune'!$F$22="Moyenne annuelle",1,0))+IF('Feuille saisie commune'!$F$23="Oui",1,0)</f>
        <v>0.89</v>
      </c>
      <c r="G306" s="225">
        <f t="shared" si="14"/>
        <v>7.6550303030303024E-2</v>
      </c>
    </row>
    <row r="307" spans="1:7" x14ac:dyDescent="0.25">
      <c r="A307" s="192" t="s">
        <v>703</v>
      </c>
      <c r="B307" s="223">
        <f>AVERAGE(B281:B306)</f>
        <v>755.19230769230774</v>
      </c>
      <c r="C307" s="225">
        <f>AVERAGE(C281:C306)</f>
        <v>1</v>
      </c>
      <c r="D307" s="97"/>
      <c r="E307" s="97"/>
      <c r="F307" s="97"/>
    </row>
    <row r="308" spans="1:7" x14ac:dyDescent="0.25">
      <c r="A308" s="97"/>
      <c r="B308" s="97"/>
      <c r="C308" s="97"/>
      <c r="D308" s="97"/>
      <c r="E308" s="97"/>
      <c r="F308" s="97"/>
    </row>
    <row r="309" spans="1:7" x14ac:dyDescent="0.25">
      <c r="A309" s="224" t="s">
        <v>912</v>
      </c>
      <c r="B309" s="219" t="s">
        <v>699</v>
      </c>
      <c r="C309" s="183">
        <v>8.3299999999999999E-2</v>
      </c>
      <c r="D309" s="97"/>
      <c r="E309" s="97"/>
      <c r="F309" s="97"/>
    </row>
    <row r="310" spans="1:7" x14ac:dyDescent="0.25">
      <c r="A310" s="405" t="s">
        <v>913</v>
      </c>
      <c r="B310" s="220" t="s">
        <v>700</v>
      </c>
      <c r="C310" s="97"/>
      <c r="D310" s="97"/>
      <c r="E310" s="97"/>
      <c r="F310" s="97"/>
    </row>
    <row r="311" spans="1:7" x14ac:dyDescent="0.25">
      <c r="A311" s="97"/>
      <c r="C311" s="97"/>
      <c r="D311" s="97"/>
      <c r="E311" s="97"/>
      <c r="F311" s="97"/>
    </row>
    <row r="312" spans="1:7" s="291" customFormat="1" x14ac:dyDescent="0.25">
      <c r="A312" s="511" t="s">
        <v>997</v>
      </c>
      <c r="B312" s="203" t="s">
        <v>712</v>
      </c>
      <c r="C312" s="203">
        <v>0.55500000000000005</v>
      </c>
      <c r="D312" s="403">
        <f>C312*2</f>
        <v>1.1100000000000001</v>
      </c>
      <c r="E312" s="406"/>
      <c r="F312" s="406"/>
    </row>
    <row r="313" spans="1:7" x14ac:dyDescent="0.25">
      <c r="A313" s="417" t="s">
        <v>701</v>
      </c>
      <c r="B313" s="292" t="s">
        <v>702</v>
      </c>
      <c r="C313" s="292">
        <v>0.44500000000000001</v>
      </c>
      <c r="D313" s="404">
        <f>C313*2</f>
        <v>0.89</v>
      </c>
      <c r="E313" s="97"/>
      <c r="F313" s="97"/>
    </row>
    <row r="314" spans="1:7" x14ac:dyDescent="0.25">
      <c r="A314" s="405"/>
      <c r="B314" s="104" t="s">
        <v>914</v>
      </c>
      <c r="C314" s="418"/>
      <c r="D314" s="413"/>
      <c r="E314" s="97"/>
      <c r="F314" s="97"/>
    </row>
    <row r="315" spans="1:7" x14ac:dyDescent="0.25">
      <c r="A315" s="97"/>
      <c r="B315" s="97"/>
      <c r="C315" s="97"/>
      <c r="D315" s="97"/>
      <c r="E315" s="97"/>
      <c r="F315" s="97"/>
    </row>
    <row r="316" spans="1:7" x14ac:dyDescent="0.25">
      <c r="A316" s="97"/>
      <c r="B316" s="97"/>
      <c r="C316" s="97"/>
      <c r="D316" s="97"/>
      <c r="E316" s="97">
        <v>1</v>
      </c>
      <c r="F316" s="97"/>
    </row>
    <row r="317" spans="1:7" x14ac:dyDescent="0.25">
      <c r="A317" s="97"/>
      <c r="B317" s="97"/>
      <c r="C317" s="97"/>
      <c r="D317" s="97"/>
      <c r="E317" s="97">
        <v>2</v>
      </c>
      <c r="F317" s="97"/>
    </row>
    <row r="318" spans="1:7" x14ac:dyDescent="0.25">
      <c r="A318" s="97"/>
      <c r="C318" s="97"/>
      <c r="D318" s="97"/>
      <c r="E318" s="97">
        <v>3</v>
      </c>
      <c r="F318" s="97"/>
    </row>
    <row r="319" spans="1:7" x14ac:dyDescent="0.25">
      <c r="A319" s="97"/>
      <c r="B319" s="97"/>
      <c r="C319" s="97"/>
      <c r="D319" s="97"/>
      <c r="E319" s="97">
        <v>4</v>
      </c>
      <c r="F319" s="97"/>
    </row>
    <row r="320" spans="1:7" x14ac:dyDescent="0.25">
      <c r="A320" s="97"/>
      <c r="B320" s="97"/>
      <c r="C320" s="97"/>
      <c r="D320" s="97"/>
      <c r="E320" s="97"/>
      <c r="F320" s="97"/>
    </row>
    <row r="321" spans="1:18" s="274" customFormat="1" x14ac:dyDescent="0.25">
      <c r="A321" s="469" t="s">
        <v>931</v>
      </c>
      <c r="B321" s="470"/>
      <c r="C321" s="470"/>
      <c r="D321" s="470"/>
      <c r="E321" s="470"/>
      <c r="F321" s="470"/>
    </row>
    <row r="322" spans="1:18" x14ac:dyDescent="0.25">
      <c r="A322" s="102" t="s">
        <v>956</v>
      </c>
      <c r="B322" s="97"/>
      <c r="C322" s="97"/>
      <c r="D322" s="97"/>
      <c r="E322" s="97"/>
      <c r="F322" s="97"/>
      <c r="N322" s="291" t="s">
        <v>963</v>
      </c>
    </row>
    <row r="323" spans="1:18" x14ac:dyDescent="0.25">
      <c r="A323" s="97"/>
      <c r="B323" s="97"/>
      <c r="C323" s="97"/>
      <c r="D323" s="97"/>
      <c r="E323" s="468" t="s">
        <v>935</v>
      </c>
      <c r="G323" s="97"/>
      <c r="I323" s="108" t="s">
        <v>937</v>
      </c>
      <c r="O323" s="468"/>
      <c r="P323" s="468" t="s">
        <v>959</v>
      </c>
      <c r="Q323" s="468" t="s">
        <v>960</v>
      </c>
      <c r="R323" s="468"/>
    </row>
    <row r="324" spans="1:18" x14ac:dyDescent="0.25">
      <c r="A324" s="97"/>
      <c r="B324" s="97"/>
      <c r="C324" s="1137" t="s">
        <v>403</v>
      </c>
      <c r="D324" s="1137"/>
      <c r="E324" s="467" t="s">
        <v>403</v>
      </c>
      <c r="F324" s="468" t="s">
        <v>940</v>
      </c>
      <c r="G324" s="467" t="s">
        <v>407</v>
      </c>
      <c r="H324" s="468" t="s">
        <v>948</v>
      </c>
      <c r="I324" s="109" t="s">
        <v>493</v>
      </c>
      <c r="N324" s="291" t="s">
        <v>488</v>
      </c>
      <c r="O324" s="468">
        <f>IF(Param_porcs!$G$16=11,('Porc (Effectif détaillé)'!$C$41+'Porc (Effectif détaillé)'!$D$41+'Porc (Effectif détaillé)'!$C$42+'Porc (Effectif détaillé)'!$D$42)/2*14.5,0)+IF(Param_porcs!$G$17=11,('Porc (Effectif détaillé)'!$C$41+'Porc (Effectif détaillé)'!$D$41+'Porc (Effectif détaillé)'!$C$42+'Porc (Effectif détaillé)'!$D$42)/2*14.5,0)+IF(Param_porcs!$G$18=11,('Porc (Effectif détaillé)'!$C$41+'Porc (Effectif détaillé)'!$D$41+'Porc (Effectif détaillé)'!$C$42+'Porc (Effectif détaillé)'!$D$42)/2*14.5,0)</f>
        <v>0</v>
      </c>
      <c r="P324" s="476" t="e">
        <f>O324/O326</f>
        <v>#DIV/0!</v>
      </c>
      <c r="Q324" s="468">
        <f>IF(Param_porcs!$G$16=21,('Porc (Effectif détaillé)'!$C$41+'Porc (Effectif détaillé)'!$D$41+'Porc (Effectif détaillé)'!$C$42+'Porc (Effectif détaillé)'!$D$42)/2*14.5,0)+IF(Param_porcs!$G$17=21,('Porc (Effectif détaillé)'!$C$41+'Porc (Effectif détaillé)'!$D$41+'Porc (Effectif détaillé)'!$C$42+'Porc (Effectif détaillé)'!$D$42)/2*14.5,0)+IF(Param_porcs!$G$18=21,('Porc (Effectif détaillé)'!$C$41+'Porc (Effectif détaillé)'!$D$41+'Porc (Effectif détaillé)'!$C$42+'Porc (Effectif détaillé)'!$D$42)/2*14.5,0)</f>
        <v>2900</v>
      </c>
      <c r="R324" s="476">
        <f>Q324/Q326</f>
        <v>1</v>
      </c>
    </row>
    <row r="325" spans="1:18" x14ac:dyDescent="0.25">
      <c r="A325" s="97"/>
      <c r="B325" s="97"/>
      <c r="C325" s="468" t="s">
        <v>488</v>
      </c>
      <c r="D325" s="468" t="s">
        <v>936</v>
      </c>
      <c r="E325" s="291" t="s">
        <v>938</v>
      </c>
      <c r="F325" s="468" t="s">
        <v>947</v>
      </c>
      <c r="G325" s="468" t="s">
        <v>941</v>
      </c>
      <c r="H325" s="292" t="s">
        <v>942</v>
      </c>
      <c r="I325" s="202" t="s">
        <v>939</v>
      </c>
      <c r="N325" s="291" t="s">
        <v>958</v>
      </c>
      <c r="O325" s="468">
        <f>IF(Param_porcs!$G$16=12,('Porc (Effectif détaillé)'!C51+'Porc (Effectif détaillé)'!C52)*2.7,0)+IF(Param_porcs!$G$17=12,('Porc (Effectif détaillé)'!C51+'Porc (Effectif détaillé)'!C52)*2.7,0)+IF(Param_porcs!$G$18=12,('Porc (Effectif détaillé)'!C51+'Porc (Effectif détaillé)'!C52)*2.7,0)+IF(Param_porcs!$G$16=13,('Porc (Effectif détaillé)'!C50+'Porc (Effectif détaillé)'!C52)*0.4,0)+IF(Param_porcs!$G$17=13,('Porc (Effectif détaillé)'!C50+'Porc (Effectif détaillé)'!C52)*0.4,0)+IF(Param_porcs!$G$18=13,('Porc (Effectif détaillé)'!C50+'Porc (Effectif détaillé)'!C52)*0.4,0)</f>
        <v>0</v>
      </c>
      <c r="P325" s="477" t="e">
        <f>O325/O326</f>
        <v>#DIV/0!</v>
      </c>
      <c r="Q325" s="468">
        <f>IF(Param_porcs!$G$16=22,('Porc (Effectif détaillé)'!C51+'Porc (Effectif détaillé)'!C52)*2.7,0)+IF(Param_porcs!$G$17=22,('Porc (Effectif détaillé)'!C51+'Porc (Effectif détaillé)'!C52)*2.7,0)+IF(Param_porcs!$G$18=22,('Porc (Effectif détaillé)'!C51+'Porc (Effectif détaillé)'!C52)*2.7,0)+IF(Param_porcs!$G$16=23,('Porc (Effectif détaillé)'!C50+'Porc (Effectif détaillé)'!C52)*0.4,0)+IF(Param_porcs!$G$17=23,('Porc (Effectif détaillé)'!C50+'Porc (Effectif détaillé)'!C52)*0.4,0)+IF(Param_porcs!$G$18=23,('Porc (Effectif détaillé)'!C50+'Porc (Effectif détaillé)'!C52)*0.4,0)</f>
        <v>0</v>
      </c>
      <c r="R325" s="477">
        <f>Q325/Q326</f>
        <v>0</v>
      </c>
    </row>
    <row r="326" spans="1:18" x14ac:dyDescent="0.25">
      <c r="B326" s="290" t="s">
        <v>961</v>
      </c>
      <c r="C326" s="1135">
        <v>25</v>
      </c>
      <c r="D326" s="1135">
        <v>25</v>
      </c>
      <c r="E326" s="482" t="e">
        <f>C326*P324+D326*P325</f>
        <v>#DIV/0!</v>
      </c>
      <c r="F326" s="523" t="e">
        <f>E326/(IF('Feuille saisie commune'!F22="Moyenne annuelle",Param_porcs!E326*1,0)+IF('Feuille saisie commune'!F22="Hiver/printemps",Param_porcs!E326*0.917,0)+IF('Feuille saisie commune'!F22="Fin été/début automne",Param_porcs!E326*1.055,0))</f>
        <v>#DIV/0!</v>
      </c>
      <c r="G326" s="1138">
        <v>5</v>
      </c>
      <c r="H326" s="1135">
        <f>IF('Feuille saisie commune'!F23="Oui",Param_porcs!G326*0.3,0)+IF('Feuille saisie commune'!F23="Non",Param_porcs!G326*1,0)</f>
        <v>5</v>
      </c>
      <c r="I326" s="479" t="e">
        <f>100-((100-E326)*(100-H326)/100)</f>
        <v>#DIV/0!</v>
      </c>
      <c r="J326" s="291" t="s">
        <v>1047</v>
      </c>
      <c r="N326" s="291" t="s">
        <v>543</v>
      </c>
      <c r="O326" s="468">
        <f>O324+O325</f>
        <v>0</v>
      </c>
      <c r="P326" s="468"/>
      <c r="Q326" s="468">
        <f>Q324+Q325</f>
        <v>2900</v>
      </c>
      <c r="R326" s="468"/>
    </row>
    <row r="327" spans="1:18" s="291" customFormat="1" x14ac:dyDescent="0.25">
      <c r="B327" s="294" t="s">
        <v>962</v>
      </c>
      <c r="C327" s="1136"/>
      <c r="D327" s="1136"/>
      <c r="E327" s="539">
        <f>C326*R324+D326*R325</f>
        <v>25</v>
      </c>
      <c r="F327" s="523">
        <f>E327/(IF('Feuille saisie commune'!F22="Moyenne annuelle",Param_porcs!E327*1,0)+IF('Feuille saisie commune'!F22="Hiver/printemps",Param_porcs!E327*0.917,0)+IF('Feuille saisie commune'!F22="Fin été/début automne",Param_porcs!E327*1.055,0))</f>
        <v>0.94786729857819907</v>
      </c>
      <c r="G327" s="1139"/>
      <c r="H327" s="1136"/>
      <c r="I327" s="479">
        <f>100-((100-E327)*(100-H326)/100)</f>
        <v>28.75</v>
      </c>
      <c r="J327" s="291" t="s">
        <v>1048</v>
      </c>
      <c r="O327" s="468"/>
      <c r="P327" s="468"/>
      <c r="Q327" s="468"/>
      <c r="R327" s="468"/>
    </row>
    <row r="328" spans="1:18" s="291" customFormat="1" x14ac:dyDescent="0.25">
      <c r="B328" s="293"/>
      <c r="C328" s="293"/>
      <c r="D328" s="293" t="s">
        <v>957</v>
      </c>
      <c r="E328" s="292"/>
      <c r="F328" s="292"/>
      <c r="G328" s="292"/>
      <c r="I328" s="480" t="s">
        <v>1049</v>
      </c>
      <c r="K328" s="108" t="s">
        <v>587</v>
      </c>
    </row>
    <row r="329" spans="1:18" s="291" customFormat="1" x14ac:dyDescent="0.25">
      <c r="B329" s="293"/>
      <c r="C329" s="293"/>
      <c r="D329" s="293"/>
      <c r="E329" s="292" t="s">
        <v>403</v>
      </c>
      <c r="F329" s="292"/>
      <c r="G329" s="292" t="s">
        <v>875</v>
      </c>
      <c r="H329" s="98"/>
      <c r="I329" s="98" t="s">
        <v>945</v>
      </c>
      <c r="J329" s="98" t="s">
        <v>875</v>
      </c>
      <c r="K329" s="480" t="s">
        <v>944</v>
      </c>
    </row>
    <row r="330" spans="1:18" s="291" customFormat="1" x14ac:dyDescent="0.25">
      <c r="B330" s="293"/>
      <c r="C330" s="293"/>
      <c r="D330" s="293"/>
      <c r="E330" s="292" t="s">
        <v>943</v>
      </c>
      <c r="F330" s="292"/>
      <c r="G330" s="292" t="s">
        <v>938</v>
      </c>
      <c r="H330" s="98"/>
      <c r="I330" s="98" t="s">
        <v>946</v>
      </c>
      <c r="J330" s="98" t="s">
        <v>955</v>
      </c>
      <c r="K330" s="481" t="s">
        <v>939</v>
      </c>
    </row>
    <row r="331" spans="1:18" x14ac:dyDescent="0.25">
      <c r="B331" s="294" t="s">
        <v>932</v>
      </c>
      <c r="E331" s="183">
        <v>57</v>
      </c>
      <c r="F331" s="523"/>
      <c r="G331" s="183">
        <v>0</v>
      </c>
      <c r="K331" s="540">
        <f>E331</f>
        <v>57</v>
      </c>
    </row>
    <row r="332" spans="1:18" x14ac:dyDescent="0.25">
      <c r="B332" s="294" t="s">
        <v>933</v>
      </c>
      <c r="E332" s="183">
        <v>57</v>
      </c>
      <c r="F332" s="523"/>
      <c r="G332" s="183">
        <v>30</v>
      </c>
      <c r="H332" s="183"/>
      <c r="I332" s="539">
        <f>IF($F$340="Fumière (fumier paille compostée)",(M340*$H$340)/$C$377,0)+IF($F$341="Fumière (fumier paille compostée)",(M341*$H$341)/C377,0)+IF($F$342="Fumière (fumier paille compostée)",(M342*$H$342)/$C$377,0)</f>
        <v>0.92897279999999982</v>
      </c>
      <c r="J332" s="478">
        <f>G332*I332</f>
        <v>27.869183999999994</v>
      </c>
      <c r="K332" s="540">
        <f>100-((100-E332)*(1-J332/100))</f>
        <v>68.983749119999999</v>
      </c>
    </row>
    <row r="333" spans="1:18" x14ac:dyDescent="0.25">
      <c r="B333" s="294" t="s">
        <v>934</v>
      </c>
      <c r="E333" s="183">
        <v>72</v>
      </c>
      <c r="F333" s="523"/>
      <c r="G333" s="183">
        <v>0</v>
      </c>
      <c r="I333" s="538"/>
      <c r="J333" s="28"/>
      <c r="K333" s="540">
        <f>E333</f>
        <v>72</v>
      </c>
    </row>
    <row r="334" spans="1:18" x14ac:dyDescent="0.25">
      <c r="B334" s="294" t="s">
        <v>526</v>
      </c>
      <c r="E334" s="183">
        <v>72</v>
      </c>
      <c r="F334" s="523"/>
      <c r="G334" s="183">
        <v>10</v>
      </c>
      <c r="H334" s="183"/>
      <c r="I334" s="539">
        <f>IF($F$340="Fumière (litière sciure compostée)",(M340*$H$340)/$C$379,0)+IF($F$341="Fumière (litière sciure compostée)",(M341*$H$341)/C379,0)+IF($F$342="Fumière (litière sciure compostée)",(M342*$H$342)/$C$379,0)</f>
        <v>0</v>
      </c>
      <c r="J334" s="478">
        <f>G334*I334</f>
        <v>0</v>
      </c>
      <c r="K334" s="540">
        <f>100-((100-E334)*(1-J334/100))</f>
        <v>72</v>
      </c>
    </row>
    <row r="337" spans="1:14" x14ac:dyDescent="0.25">
      <c r="A337" s="5" t="s">
        <v>954</v>
      </c>
      <c r="G337" s="5" t="s">
        <v>1050</v>
      </c>
    </row>
    <row r="338" spans="1:14" x14ac:dyDescent="0.25">
      <c r="E338" s="410"/>
      <c r="F338" s="526"/>
      <c r="G338" s="526"/>
      <c r="H338" s="532" t="s">
        <v>1001</v>
      </c>
      <c r="I338" s="526"/>
      <c r="J338" s="526"/>
      <c r="K338" s="11" t="s">
        <v>1003</v>
      </c>
      <c r="L338" s="526"/>
      <c r="M338" s="11" t="s">
        <v>1003</v>
      </c>
      <c r="N338" s="411"/>
    </row>
    <row r="339" spans="1:14" x14ac:dyDescent="0.25">
      <c r="A339" s="291" t="s">
        <v>949</v>
      </c>
      <c r="B339" s="291" t="s">
        <v>950</v>
      </c>
      <c r="E339" s="533"/>
      <c r="F339" s="534" t="s">
        <v>449</v>
      </c>
      <c r="G339" s="293"/>
      <c r="H339" s="535" t="s">
        <v>1002</v>
      </c>
      <c r="I339" s="293"/>
      <c r="J339" s="293"/>
      <c r="K339" s="534" t="s">
        <v>1004</v>
      </c>
      <c r="L339" s="293"/>
      <c r="M339" s="534" t="s">
        <v>1004</v>
      </c>
      <c r="N339" s="527"/>
    </row>
    <row r="340" spans="1:14" x14ac:dyDescent="0.25">
      <c r="A340" s="410" t="s">
        <v>1013</v>
      </c>
      <c r="B340" s="471" t="s">
        <v>951</v>
      </c>
      <c r="E340" s="533" t="s">
        <v>998</v>
      </c>
      <c r="F340" s="293" t="str">
        <f>'Porc (Effluents)'!C7</f>
        <v>Fosse stockage 2</v>
      </c>
      <c r="G340" s="293"/>
      <c r="H340" s="536">
        <f>'Porc (Effluents)'!E7</f>
        <v>1268.7299169696969</v>
      </c>
      <c r="I340" s="293" t="str">
        <f>'Porc (Effluents)'!F7</f>
        <v>Alimentation soupe - avec repas d'eau</v>
      </c>
      <c r="J340" s="293"/>
      <c r="K340" s="520">
        <v>1</v>
      </c>
      <c r="L340" s="292" t="str">
        <f>'Porc (Effluents)'!G7</f>
        <v>Normal</v>
      </c>
      <c r="M340" s="520">
        <f>IF(L340="&lt; 2 mois",1,0)+IF(L340="Entre 2 et 6 mois",1.2,0)+IF(L340="&gt; 6 mois",1.4,0)</f>
        <v>0</v>
      </c>
      <c r="N340" s="537"/>
    </row>
    <row r="341" spans="1:14" x14ac:dyDescent="0.25">
      <c r="A341" s="412" t="s">
        <v>1014</v>
      </c>
      <c r="B341" s="473" t="s">
        <v>952</v>
      </c>
      <c r="E341" s="533" t="s">
        <v>999</v>
      </c>
      <c r="F341" s="293" t="str">
        <f>'Porc (Effluents)'!C8</f>
        <v>Fumière (fumier paille compostée)</v>
      </c>
      <c r="G341" s="293"/>
      <c r="H341" s="536">
        <f>'Porc (Effluents)'!E8</f>
        <v>77.414399999999986</v>
      </c>
      <c r="I341" s="293" t="str">
        <f>'Porc (Effluents)'!F8</f>
        <v>Autres cas</v>
      </c>
      <c r="J341" s="293"/>
      <c r="K341" s="521">
        <v>1</v>
      </c>
      <c r="L341" s="292" t="str">
        <f>'Porc (Effluents)'!G8</f>
        <v>Entre 2 et 6 mois</v>
      </c>
      <c r="M341" s="521">
        <f t="shared" ref="M341:M342" si="15">IF(L341="&lt; 2 mois",1,0)+IF(L341="Entre 2 et 6 mois",1.2,0)+IF(L341="&gt; 6 mois",1.4,0)</f>
        <v>1.2</v>
      </c>
      <c r="N341" s="537"/>
    </row>
    <row r="342" spans="1:14" x14ac:dyDescent="0.25">
      <c r="A342" s="295" t="s">
        <v>1015</v>
      </c>
      <c r="B342" s="472" t="s">
        <v>953</v>
      </c>
      <c r="E342" s="533" t="s">
        <v>1000</v>
      </c>
      <c r="F342" s="293" t="str">
        <f>'Porc (Effluents)'!C9</f>
        <v>Fumière ( litière sciure fraiche )</v>
      </c>
      <c r="G342" s="293"/>
      <c r="H342" s="536">
        <f>'Porc (Effluents)'!E9</f>
        <v>1043.8400000000001</v>
      </c>
      <c r="I342" s="293" t="str">
        <f>'Porc (Effluents)'!F9</f>
        <v>Réfectoire + courette (truie) ou alim. humide (porc charcutier)</v>
      </c>
      <c r="J342" s="293"/>
      <c r="K342" s="522">
        <v>1</v>
      </c>
      <c r="L342" s="292">
        <f>'Porc (Effluents)'!G9</f>
        <v>0</v>
      </c>
      <c r="M342" s="522">
        <f t="shared" si="15"/>
        <v>0</v>
      </c>
      <c r="N342" s="537"/>
    </row>
    <row r="343" spans="1:14" x14ac:dyDescent="0.25">
      <c r="E343" s="412"/>
      <c r="F343" s="418"/>
      <c r="G343" s="418"/>
      <c r="H343" s="418"/>
      <c r="I343" s="418"/>
      <c r="J343" s="418"/>
      <c r="K343" s="418"/>
      <c r="L343" s="418"/>
      <c r="M343" s="418"/>
      <c r="N343" s="413"/>
    </row>
    <row r="344" spans="1:14" x14ac:dyDescent="0.25">
      <c r="A344" s="515" t="s">
        <v>993</v>
      </c>
    </row>
    <row r="345" spans="1:14" x14ac:dyDescent="0.25">
      <c r="A345" s="524" t="str">
        <f>LEFT('Porc (Effluents)'!C7,2)</f>
        <v>Fo</v>
      </c>
      <c r="B345" s="525" t="s">
        <v>621</v>
      </c>
      <c r="C345" s="526"/>
      <c r="D345" s="526"/>
      <c r="E345" s="411"/>
    </row>
    <row r="346" spans="1:14" x14ac:dyDescent="0.25">
      <c r="A346" s="524" t="str">
        <f>LEFT('Porc (Effluents)'!C8,2)</f>
        <v>Fu</v>
      </c>
      <c r="B346" s="513" t="s">
        <v>499</v>
      </c>
      <c r="C346" s="293"/>
      <c r="D346" s="293"/>
      <c r="E346" s="527"/>
    </row>
    <row r="347" spans="1:14" x14ac:dyDescent="0.25">
      <c r="A347" s="524" t="str">
        <f>LEFT('Porc (Effluents)'!C9,2)</f>
        <v>Fu</v>
      </c>
      <c r="B347" s="528" t="s">
        <v>981</v>
      </c>
      <c r="C347" s="293"/>
      <c r="D347" s="293"/>
      <c r="E347" s="527"/>
    </row>
    <row r="348" spans="1:14" x14ac:dyDescent="0.25">
      <c r="A348" s="524"/>
      <c r="B348" s="513" t="s">
        <v>501</v>
      </c>
      <c r="C348" s="293"/>
      <c r="D348" s="293"/>
      <c r="E348" s="527"/>
    </row>
    <row r="349" spans="1:14" x14ac:dyDescent="0.25">
      <c r="A349" s="524" t="str">
        <f>LEFT('Porc (Effluents)'!F7,2)</f>
        <v>Al</v>
      </c>
      <c r="B349" s="513" t="s">
        <v>502</v>
      </c>
      <c r="C349" s="293"/>
      <c r="D349" s="293"/>
      <c r="E349" s="527"/>
    </row>
    <row r="350" spans="1:14" x14ac:dyDescent="0.25">
      <c r="A350" s="524" t="str">
        <f>LEFT('Porc (Effluents)'!F8,2)</f>
        <v>Au</v>
      </c>
      <c r="B350" s="514" t="s">
        <v>503</v>
      </c>
      <c r="C350" s="418"/>
      <c r="D350" s="418"/>
      <c r="E350" s="413"/>
    </row>
    <row r="351" spans="1:14" x14ac:dyDescent="0.25">
      <c r="A351" s="524" t="str">
        <f>LEFT('Porc (Effluents)'!F9,2)</f>
        <v>Ré</v>
      </c>
      <c r="B351" s="512"/>
    </row>
    <row r="352" spans="1:14" x14ac:dyDescent="0.25">
      <c r="A352" s="524"/>
      <c r="B352" s="512"/>
    </row>
    <row r="353" spans="1:14" x14ac:dyDescent="0.25">
      <c r="A353" s="524" t="str">
        <f>RIGHT('Porc (Effluents)'!F7,1)</f>
        <v>u</v>
      </c>
      <c r="B353" s="529" t="s">
        <v>496</v>
      </c>
    </row>
    <row r="354" spans="1:14" x14ac:dyDescent="0.25">
      <c r="A354" s="524" t="str">
        <f>RIGHT('Porc (Effluents)'!F8,1)</f>
        <v>s</v>
      </c>
      <c r="B354" s="530" t="s">
        <v>497</v>
      </c>
      <c r="N354" s="108" t="s">
        <v>1051</v>
      </c>
    </row>
    <row r="355" spans="1:14" x14ac:dyDescent="0.25">
      <c r="A355" s="524" t="str">
        <f>RIGHT('Porc (Effluents)'!F9,1)</f>
        <v>)</v>
      </c>
      <c r="B355" s="531" t="s">
        <v>498</v>
      </c>
      <c r="E355" s="410"/>
      <c r="F355" s="411" t="s">
        <v>1022</v>
      </c>
      <c r="G355" s="1107" t="s">
        <v>604</v>
      </c>
      <c r="H355" s="1108"/>
      <c r="I355" s="1107" t="s">
        <v>1023</v>
      </c>
      <c r="J355" s="1108"/>
      <c r="N355" s="109" t="s">
        <v>1028</v>
      </c>
    </row>
    <row r="356" spans="1:14" x14ac:dyDescent="0.25">
      <c r="E356" s="533"/>
      <c r="F356" s="527"/>
      <c r="G356" s="545" t="s">
        <v>1021</v>
      </c>
      <c r="H356" s="546" t="s">
        <v>900</v>
      </c>
      <c r="I356" s="603" t="s">
        <v>1021</v>
      </c>
      <c r="J356" s="604" t="s">
        <v>900</v>
      </c>
      <c r="N356" s="109"/>
    </row>
    <row r="357" spans="1:14" s="291" customFormat="1" x14ac:dyDescent="0.25">
      <c r="E357" s="533" t="s">
        <v>489</v>
      </c>
      <c r="F357" s="527"/>
      <c r="G357" s="545">
        <v>36</v>
      </c>
      <c r="H357" s="546">
        <v>33.4</v>
      </c>
      <c r="I357" s="603">
        <v>22.8</v>
      </c>
      <c r="J357" s="604">
        <v>37.299999999999997</v>
      </c>
      <c r="M357" s="551" t="s">
        <v>523</v>
      </c>
      <c r="N357" s="613">
        <f xml:space="preserve"> (IF(Param_porcs!G16=31, IF(I340="DAC (truie) ou alim. sèche (porc charcutier)",H340*H358,0)) + IF(Param_porcs!G16=31, IF(I340="Réfectoire + courette (truie) ou alim. humide (porc charcutier)", H340*H359,0))+ IF(Param_porcs!G16=31, IF(I340="Autres cas",H340*H360,0))+ IF(Param_porcs!G16=32, IF(I340="DAC (truie) ou alim. sèche (porc charcutier)", H340*H361,0)) + IF(Param_porcs!G16=32, IF(I340="Réfectoire + courette (truie) ou alim. humide (porc charcutier)", H362*H340,0))+ IF(Param_porcs!G16=32, IF(I340="Autres cas", H340*H363,0))+IF(Param_porcs!G16=33, H340*H357,0))/100 +                    (IF(Param_porcs!G17=31, IF(I341="DAC (truie) ou alim. sèche (porc charcutier)",H341*H358,0)) + IF(Param_porcs!G17=31, IF(I341="Réfectoire + courette (truie) ou alim. humide (porc charcutier)", H341*H359,0))+ IF(Param_porcs!G17=31, IF(I341="Autres cas",H341*H360,0))+ IF(Param_porcs!G17=32, IF(I341="DAC (truie) ou alim. sèche (porc charcutier)", H341*H361,0)) + IF(Param_porcs!G17=32, IF(I341="Réfectoire + courette (truie) ou alim. humide (porc charcutier)", H362*H341,0))+ IF(Param_porcs!G17=32, IF(I341="Autres cas", H341*H363,0))+IF(Param_porcs!G17=33, H341*H357,0))/100 +                 (IF(Param_porcs!G18=31, IF(I342="DAC (truie) ou alim. sèche (porc charcutier)",H342*H358,0)) + IF(Param_porcs!G18=31, IF(I342="Réfectoire + courette (truie) ou alim. humide (porc charcutier)", H342*H359,0))+ IF(Param_porcs!G18=31, IF(I342="Autres cas",H342*H360,0))+ IF(Param_porcs!G18=32, IF(I342="DAC (truie) ou alim. sèche (porc charcutier)", H342*H361,0)) + IF(Param_porcs!G18=32, IF(I342="Réfectoire + courette (truie) ou alim. humide (porc charcutier)", H362*H342,0))+ IF(Param_porcs!G18=32, IF(I342="Autres cas", H342*H363,0))+IF(Param_porcs!G18=33, H342*H357,0))/100</f>
        <v>0</v>
      </c>
    </row>
    <row r="358" spans="1:14" s="291" customFormat="1" x14ac:dyDescent="0.25">
      <c r="E358" s="533" t="s">
        <v>488</v>
      </c>
      <c r="F358" s="527" t="s">
        <v>1016</v>
      </c>
      <c r="G358" s="545">
        <v>1331</v>
      </c>
      <c r="H358" s="546">
        <v>26.4</v>
      </c>
      <c r="I358" s="603">
        <v>958</v>
      </c>
      <c r="J358" s="604">
        <v>38.299999999999997</v>
      </c>
      <c r="M358" s="551" t="s">
        <v>524</v>
      </c>
      <c r="N358" s="613">
        <f xml:space="preserve"> ((IF(Param_porcs!G16=41, IF(I340="DAC (truie) ou alim. sèche (porc charcutier)",H340*H358,0)) + IF(Param_porcs!G16=41, IF(I340="Réfectoire + courette (truie) ou alim. humide (porc charcutier)", H340*H359,0))+ IF(Param_porcs!G16=41, IF(I340="Autres cas",H340*H360,0))+ IF(Param_porcs!G16=42, IF(I340="DAC (truie) ou alim. sèche (porc charcutier)", H340*H361,0)) + IF(Param_porcs!G16=42, IF(I340="Réfectoire + courette (truie) ou alim. humide (porc charcutier)", H362*H340,0))+ IF(Param_porcs!G16=42, IF(I340="Autres cas", H340*H363,0))+IF(Param_porcs!G16=43, H340*H357,0) +                   IF(Param_porcs!G17=41, IF(I341="DAC (truie) ou alim. sèche (porc charcutier)",H341*H358,0)) + IF(Param_porcs!G17=41, IF(I341="Réfectoire + courette (truie) ou alim. humide (porc charcutier)", H341*H359,0))+ IF(Param_porcs!G17=41, IF(I341="Autres cas",H341*H360,0))+ IF(Param_porcs!G17=42, IF(I341="DAC (truie) ou alim. sèche (porc charcutier)", H341*H361,0)) + IF(Param_porcs!G17=42, IF(I341="Réfectoire + courette (truie) ou alim. humide (porc charcutier)", H362*H341,0))+ IF(Param_porcs!G17=42, IF(I341="Autres cas", H341*H363,0))+IF(Param_porcs!G17=43, H341*H357,0) +                 IF(Param_porcs!G18=41, IF(I342="DAC (truie) ou alim. sèche (porc charcutier)",H342*H358,0)) + IF(Param_porcs!G18=41, IF(I342="Réfectoire + courette (truie) ou alim. humide (porc charcutier)", H342*H359,0))+ IF(Param_porcs!G18=41, IF(I342="Autres cas",H342*H360,0))+ IF(Param_porcs!G18=42, IF(I342="DAC (truie) ou alim. sèche (porc charcutier)", H342*H361,0)) + IF(Param_porcs!G18=42, IF(I342="Réfectoire + courette (truie) ou alim. humide (porc charcutier)", H362*H342,0))+ IF(Param_porcs!G18=42, IF(I342="Autres cas", H342*H363,0))+IF(Param_porcs!G18=43, H342*H357,0))/100)/0.48*0.64</f>
        <v>34.475212799999994</v>
      </c>
    </row>
    <row r="359" spans="1:14" s="291" customFormat="1" x14ac:dyDescent="0.25">
      <c r="E359" s="533" t="s">
        <v>488</v>
      </c>
      <c r="F359" s="527" t="s">
        <v>1017</v>
      </c>
      <c r="G359" s="545">
        <v>2196</v>
      </c>
      <c r="H359" s="546">
        <v>23</v>
      </c>
      <c r="I359" s="603">
        <v>1581</v>
      </c>
      <c r="J359" s="604">
        <v>36.299999999999997</v>
      </c>
      <c r="M359" s="551" t="s">
        <v>525</v>
      </c>
      <c r="N359" s="613">
        <f xml:space="preserve"> (IF(Param_porcs!G16=51, IF(I340="DAC (truie) ou alim. sèche (porc charcutier)",H340*J358,0)) + IF(Param_porcs!G16=51, IF(I340="Réfectoire + courette (truie) ou alim. humide (porc charcutier)", H340*J359,0))+ IF(Param_porcs!G16=51, IF(I340="Autres cas",H340*J360,0))+ IF(Param_porcs!G16=52, IF(I340="DAC (truie) ou alim. sèche (porc charcutier)", H340*J361,0)) + IF(Param_porcs!G16=52, IF(I340="Réfectoire + courette (truie) ou alim. humide (porc charcutier)", J362*H340,0))+ IF(Param_porcs!G16=52, IF(I340="Autres cas", H340*J363,0))+IF(Param_porcs!G16=53, H340*J357,0) +                    IF(Param_porcs!G17=51, IF(I341="DAC (truie) ou alim. sèche (porc charcutier)",H341*J358,0)) + IF(Param_porcs!G17=51, IF(I341="Réfectoire + courette (truie) ou alim. humide (porc charcutier)", H341*J359,0))+ IF(Param_porcs!G17=51, IF(I341="Autres cas",H341*J360,0))+ IF(Param_porcs!G17=52, IF(I341="DAC (truie) ou alim. sèche (porc charcutier)", H341*J361,0)) + IF(Param_porcs!G17=52, IF(I341="Réfectoire + courette (truie) ou alim. humide (porc charcutier)", J362*H341,0))+ IF(Param_porcs!G17=52, IF(I341="Autres cas", H341*J363,0))+IF(Param_porcs!G17=53, H341*J357,0) +                IF(Param_porcs!G18=51, IF(I342="DAC (truie) ou alim. sèche (porc charcutier)",H342*J358,0)) + IF(Param_porcs!G18=51, IF(I342="Réfectoire + courette (truie) ou alim. humide (porc charcutier)", H342*J359,0))+ IF(Param_porcs!G18=51, IF(I342="Autres cas",H342*J360,0))+ IF(Param_porcs!G18=52, IF(I342="DAC (truie) ou alim. sèche (porc charcutier)", H342*J361,0)) + IF(Param_porcs!G18=52, IF(I342="Réfectoire + courette (truie) ou alim. humide (porc charcutier)", J362*H342,0))+ IF(Param_porcs!G18=52, IF(I342="Autres cas", H342*J363,0))+IF(Param_porcs!G18=53, H342*J357,0))/100</f>
        <v>336.11648000000008</v>
      </c>
    </row>
    <row r="360" spans="1:14" s="291" customFormat="1" x14ac:dyDescent="0.25">
      <c r="E360" s="533" t="s">
        <v>488</v>
      </c>
      <c r="F360" s="527" t="s">
        <v>1018</v>
      </c>
      <c r="G360" s="545">
        <f>(G358+G359)/2</f>
        <v>1763.5</v>
      </c>
      <c r="H360" s="546">
        <f>(H358+H359)/2</f>
        <v>24.7</v>
      </c>
      <c r="I360" s="603">
        <f>(I358+I359)/2</f>
        <v>1269.5</v>
      </c>
      <c r="J360" s="604">
        <v>37.299999999999997</v>
      </c>
      <c r="M360" s="551" t="s">
        <v>526</v>
      </c>
      <c r="N360" s="614">
        <f>(IF(Param_porcs!G16=61,IF(I340="DAC (truie) ou alim. sèche (porc charcutier)",H340*J358,0))+IF(Param_porcs!G16=61,IF(I340="Réfectoire + courette (truie) ou alim. humide (porc charcutier)",H340*J359,0))+IF(Param_porcs!G16=61,IF(I340="Autres cas",H340*J360,0))+IF(Param_porcs!G16=62,IF(I340="DAC (truie) ou alim. sèche (porc charcutier)",H340*J361,0))+IF(Param_porcs!G16=62,IF(I340="Réfectoire + courette (truie) ou alim. humide (porc charcutier)",J362*H340,0))+IF(Param_porcs!G16=62,IF(I340="Autres cas",H340*J363,0))+IF(Param_porcs!G16=63,H340*J357,0)+IF(Param_porcs!G17=61,IF(I341="DAC (truie) ou alim. sèche (porc charcutier)",H341*J358,0))+IF(Param_porcs!G17=61,IF(I341="Réfectoire + courette (truie) ou alim. humide (porc charcutier)",H341*J359,0))+IF(Param_porcs!G17=61,IF(I341="Autres cas",H341*J360,0))+IF(Param_porcs!G17=62,IF(I341="DAC (truie) ou alim. sèche (porc charcutier)",H341*J361,0))+IF(Param_porcs!G17=62,IF(I341="Réfectoire + courette (truie) ou alim. humide (porc charcutier)",J362*H341,0))+IF(Param_porcs!G17=62,IF(I341="Autres cas",H341*J363,0))+IF(Param_porcs!G17=63,H341*J357,0)+(IF(Param_porcs!G18=61,IF(I342="DAC (truie) ou alim. sèche (porc charcutier)",H342*J358,0))+IF(Param_porcs!G18=61,IF(I342="Réfectoire + courette (truie) ou alim. humide (porc charcutier)",H342*J359,0))+IF(Param_porcs!G18=61,IF(I342="Autres cas",H342*J360,0))+IF(Param_porcs!G18=62,IF(I342="DAC (truie) ou alim. sèche (porc charcutier)",H342*J361,0))+IF(Param_porcs!G18=62,IF(I342="Réfectoire + courette (truie) ou alim. humide (porc charcutier)",J362*H342,0))+IF(Param_porcs!G18=62,IF(I342="Autres cas",H342*J363,0))+IF(Param_porcs!G18=63,H342*J357,0)))/100/0.75*0.825</f>
        <v>0</v>
      </c>
    </row>
    <row r="361" spans="1:14" s="291" customFormat="1" x14ac:dyDescent="0.25">
      <c r="E361" s="533" t="s">
        <v>487</v>
      </c>
      <c r="F361" s="527" t="s">
        <v>1019</v>
      </c>
      <c r="G361" s="545">
        <v>205</v>
      </c>
      <c r="H361" s="546">
        <v>33.5</v>
      </c>
      <c r="I361" s="603">
        <v>155</v>
      </c>
      <c r="J361" s="604">
        <v>35.9</v>
      </c>
    </row>
    <row r="362" spans="1:14" s="291" customFormat="1" x14ac:dyDescent="0.25">
      <c r="E362" s="533" t="s">
        <v>487</v>
      </c>
      <c r="F362" s="527" t="s">
        <v>1020</v>
      </c>
      <c r="G362" s="545">
        <v>280</v>
      </c>
      <c r="H362" s="546">
        <v>27.2</v>
      </c>
      <c r="I362" s="603">
        <v>233</v>
      </c>
      <c r="J362" s="604">
        <v>32.200000000000003</v>
      </c>
    </row>
    <row r="363" spans="1:14" s="291" customFormat="1" x14ac:dyDescent="0.25">
      <c r="E363" s="549" t="s">
        <v>487</v>
      </c>
      <c r="F363" s="550" t="s">
        <v>1015</v>
      </c>
      <c r="G363" s="547">
        <f>(G361+G362)/2</f>
        <v>242.5</v>
      </c>
      <c r="H363" s="548">
        <f>(H361+H362)/2</f>
        <v>30.35</v>
      </c>
      <c r="I363" s="605">
        <f t="shared" ref="I363:J363" si="16">(I361+I362)/2</f>
        <v>194</v>
      </c>
      <c r="J363" s="606">
        <f t="shared" si="16"/>
        <v>34.049999999999997</v>
      </c>
    </row>
    <row r="364" spans="1:14" s="291" customFormat="1" x14ac:dyDescent="0.25"/>
    <row r="365" spans="1:14" s="291" customFormat="1" x14ac:dyDescent="0.25"/>
    <row r="366" spans="1:14" s="291" customFormat="1" x14ac:dyDescent="0.25"/>
    <row r="369" spans="1:19" s="274" customFormat="1" x14ac:dyDescent="0.25">
      <c r="A369" s="517" t="s">
        <v>994</v>
      </c>
      <c r="B369" s="516"/>
      <c r="C369" s="518"/>
      <c r="D369" s="518"/>
      <c r="E369" s="518"/>
      <c r="F369" s="518"/>
      <c r="G369" s="518"/>
      <c r="H369" s="518"/>
      <c r="I369" s="518"/>
      <c r="J369" s="518"/>
      <c r="K369" s="518"/>
      <c r="L369" s="518"/>
      <c r="M369" s="518"/>
      <c r="N369" s="518"/>
      <c r="O369" s="518"/>
      <c r="P369" s="518"/>
      <c r="Q369" s="518"/>
      <c r="R369" s="518"/>
      <c r="S369" s="518"/>
    </row>
    <row r="370" spans="1:19" ht="15.75" thickBot="1" x14ac:dyDescent="0.3">
      <c r="A370" s="89"/>
      <c r="B370" s="47"/>
      <c r="C370" s="47"/>
      <c r="D370" s="47"/>
      <c r="E370" s="47"/>
      <c r="F370" s="47"/>
      <c r="G370" s="47"/>
      <c r="H370" s="47"/>
      <c r="I370" s="47"/>
      <c r="J370" s="47"/>
      <c r="K370" s="47"/>
      <c r="L370" s="47"/>
      <c r="M370" s="47"/>
      <c r="N370" s="47"/>
      <c r="O370" s="47"/>
      <c r="P370" s="47"/>
      <c r="Q370" s="47"/>
      <c r="R370" s="47"/>
      <c r="S370" s="47"/>
    </row>
    <row r="371" spans="1:19" x14ac:dyDescent="0.25">
      <c r="A371" s="302"/>
      <c r="B371" s="303"/>
      <c r="C371" s="303"/>
      <c r="D371" s="428"/>
      <c r="E371" s="1126" t="s">
        <v>642</v>
      </c>
      <c r="F371" s="1127"/>
      <c r="G371" s="1127"/>
      <c r="H371" s="1127"/>
      <c r="I371" s="1127"/>
      <c r="J371" s="1127"/>
      <c r="K371" s="1127"/>
      <c r="L371" s="1128"/>
      <c r="M371" s="1129"/>
      <c r="N371" s="47"/>
      <c r="O371" s="47"/>
      <c r="P371" s="47"/>
      <c r="Q371" s="47"/>
      <c r="R371" s="47"/>
      <c r="S371" s="47"/>
    </row>
    <row r="372" spans="1:19" x14ac:dyDescent="0.25">
      <c r="A372" s="429" t="s">
        <v>504</v>
      </c>
      <c r="B372" s="416" t="s">
        <v>505</v>
      </c>
      <c r="C372" s="416" t="s">
        <v>477</v>
      </c>
      <c r="D372" s="430" t="s">
        <v>518</v>
      </c>
      <c r="E372" s="431" t="s">
        <v>118</v>
      </c>
      <c r="F372" s="431" t="s">
        <v>506</v>
      </c>
      <c r="G372" s="431" t="s">
        <v>507</v>
      </c>
      <c r="H372" s="431" t="s">
        <v>508</v>
      </c>
      <c r="I372" s="431" t="s">
        <v>509</v>
      </c>
      <c r="J372" s="431" t="s">
        <v>510</v>
      </c>
      <c r="K372" s="431" t="s">
        <v>511</v>
      </c>
      <c r="L372" s="431" t="s">
        <v>607</v>
      </c>
      <c r="M372" s="432" t="s">
        <v>608</v>
      </c>
      <c r="N372" s="47"/>
      <c r="O372" s="47"/>
      <c r="P372" s="47"/>
      <c r="Q372" s="47"/>
      <c r="R372" s="47"/>
      <c r="S372" s="47"/>
    </row>
    <row r="373" spans="1:19" ht="15.75" thickBot="1" x14ac:dyDescent="0.3">
      <c r="A373" s="433"/>
      <c r="B373" s="416"/>
      <c r="C373" s="416"/>
      <c r="D373" s="430"/>
      <c r="E373" s="1134" t="s">
        <v>303</v>
      </c>
      <c r="F373" s="1134"/>
      <c r="G373" s="1134"/>
      <c r="H373" s="1130" t="s">
        <v>512</v>
      </c>
      <c r="I373" s="1131"/>
      <c r="J373" s="1131"/>
      <c r="K373" s="1131"/>
      <c r="L373" s="1132"/>
      <c r="M373" s="1133"/>
      <c r="N373" s="47"/>
      <c r="O373" s="465" t="s">
        <v>641</v>
      </c>
      <c r="P373" s="434"/>
      <c r="Q373" s="434"/>
      <c r="R373" s="309"/>
      <c r="S373" s="47"/>
    </row>
    <row r="374" spans="1:19" x14ac:dyDescent="0.25">
      <c r="A374" s="435" t="s">
        <v>515</v>
      </c>
      <c r="B374" s="436" t="s">
        <v>517</v>
      </c>
      <c r="C374" s="437">
        <f>IF('Porc (Effluents)'!$C$7="Fosse stockage 1", IF('Porc (Effluents)'!$D$7&lt;&gt;"", 'Porc (Effluents)'!$D$7,'Porc (Effluents)'!$I$7))+ IF('Porc (Effluents)'!$C$8="Fosse stockage 1", IF('Porc (Effluents)'!$D$8&lt;&gt;"", 'Porc (Effluents)'!$D$8,'Porc (Effluents)'!$I$8))+ IF('Porc (Effluents)'!$C$9="Fosse stockage 1", IF('Porc (Effluents)'!$D$9&lt;&gt;"", 'Porc (Effluents)'!$D$9,'Porc (Effluents)'!$I$9))</f>
        <v>0</v>
      </c>
      <c r="D374" s="438" t="s">
        <v>374</v>
      </c>
      <c r="E374" s="439" t="str">
        <f>IF(C374&lt;&gt;0,IF((F374+3.0787)/0.7403&gt;5,(F374+3.0787)/0.7403,"-"),"-")</f>
        <v>-</v>
      </c>
      <c r="F374" s="440" t="str">
        <f>IF(C374&lt;&gt;0,G374*2,"-")</f>
        <v>-</v>
      </c>
      <c r="G374" s="440" t="str">
        <f>IF(C374&lt;&gt;0,IF('Porc (Aliments)'!E2="Méthode du BRS",'Porc (Effluents)'!L30/1000,'Porc (Effluents)'!L22/1000),"-")</f>
        <v>-</v>
      </c>
      <c r="H374" s="441" t="str">
        <f>IF(C374&lt;&gt;0,Param_porcs!C45,"-")</f>
        <v>-</v>
      </c>
      <c r="I374" s="440" t="str">
        <f t="shared" ref="I374:I379" si="17">IF(C374&lt;&gt;0,Q374*C374,"-")</f>
        <v>-</v>
      </c>
      <c r="J374" s="442" t="str">
        <f>IF(C374&lt;&gt;0,Param_porcs!E45,"-")</f>
        <v>-</v>
      </c>
      <c r="K374" s="443" t="str">
        <f>IF(C374&lt;&gt;0,Param_porcs!G45,"-")</f>
        <v>-</v>
      </c>
      <c r="L374" s="442" t="str">
        <f>IF(C374&lt;&gt;0,Param_porcs!H45,"-")</f>
        <v>-</v>
      </c>
      <c r="M374" s="444" t="str">
        <f>IF(C374&lt;&gt;0,Param_porcs!I45,"-")</f>
        <v>-</v>
      </c>
      <c r="N374" s="47"/>
      <c r="O374" s="420"/>
      <c r="P374" s="180">
        <f t="shared" ref="P374:P379" si="18">IF(C374&lt;&gt;0,H374/C374,0)</f>
        <v>0</v>
      </c>
      <c r="Q374" s="180">
        <f>P374*0.6224+0.2518</f>
        <v>0.25180000000000002</v>
      </c>
      <c r="R374" s="421"/>
      <c r="S374" s="47"/>
    </row>
    <row r="375" spans="1:19" x14ac:dyDescent="0.25">
      <c r="A375" s="260" t="s">
        <v>516</v>
      </c>
      <c r="B375" s="445" t="s">
        <v>517</v>
      </c>
      <c r="C375" s="419">
        <f>IF('Porc (Effluents)'!$C$7="Fosse stockage 2", IF('Porc (Effluents)'!$D$7&lt;&gt;"", 'Porc (Effluents)'!$D$7,'Porc (Effluents)'!$I$7))+ IF('Porc (Effluents)'!$C$8="Fosse stockage 2", IF('Porc (Effluents)'!$D$8&lt;&gt;"", 'Porc (Effluents)'!$D$8,'Porc (Effluents)'!$I$8))+ IF('Porc (Effluents)'!$C$9="Fosse stockage 2", IF('Porc (Effluents)'!$D$9&lt;&gt;"", 'Porc (Effluents)'!$D$9,'Porc (Effluents)'!$I$9))</f>
        <v>1268.7299169696969</v>
      </c>
      <c r="D375" s="415" t="s">
        <v>374</v>
      </c>
      <c r="E375" s="262">
        <f>IF(C375&lt;&gt;0,IF((F375+3.0787)/0.7403&gt;5,(F375+3.0787)/0.7403,"-"),"-")</f>
        <v>30.041242739429968</v>
      </c>
      <c r="F375" s="263">
        <f>IF(C375&lt;&gt;0,G375*2,"-")</f>
        <v>19.160832000000003</v>
      </c>
      <c r="G375" s="263">
        <f>IF(C375&lt;&gt;0,IF('Porc (Aliments)'!E2="Méthode du BRS",'Porc (Effluents)'!M30/1000,'Porc (Effluents)'!M22/1000),"-")</f>
        <v>9.5804160000000014</v>
      </c>
      <c r="H375" s="446">
        <f>IF(C375&lt;&gt;0,Param_porcs!C84,"-")</f>
        <v>2906.9999999999995</v>
      </c>
      <c r="I375" s="263">
        <f t="shared" si="17"/>
        <v>2128.7829930929693</v>
      </c>
      <c r="J375" s="332">
        <f>IF(C375&lt;&gt;0,Param_porcs!E84,"-")</f>
        <v>2200</v>
      </c>
      <c r="K375" s="447">
        <f>IF(C375&lt;&gt;0,Param_porcs!G84,"-")</f>
        <v>1920</v>
      </c>
      <c r="L375" s="263">
        <f>IF(C375&lt;&gt;0,Param_porcs!H84,"-")</f>
        <v>3.6479999999999997</v>
      </c>
      <c r="M375" s="448">
        <f>IF(C375&lt;&gt;0,Param_porcs!I84,"-")</f>
        <v>27.6</v>
      </c>
      <c r="N375" s="47"/>
      <c r="O375" s="420"/>
      <c r="P375" s="180">
        <f t="shared" si="18"/>
        <v>2.2912677955472471</v>
      </c>
      <c r="Q375" s="180">
        <f>P375*0.6224+0.2518</f>
        <v>1.6778850759486066</v>
      </c>
      <c r="R375" s="421"/>
      <c r="S375" s="47"/>
    </row>
    <row r="376" spans="1:19" x14ac:dyDescent="0.25">
      <c r="A376" s="260" t="s">
        <v>522</v>
      </c>
      <c r="B376" s="445" t="s">
        <v>523</v>
      </c>
      <c r="C376" s="419">
        <f>IF('Porc (Effluents)'!$C$7="Fumière ( fumier paille frais )", IF('Porc (Effluents)'!$D$7&lt;&gt;"", 'Porc (Effluents)'!$D$7,'Porc (Effluents)'!$I$16))+ IF('Porc (Effluents)'!$C$8="Fumière ( fumier paille frais )", IF('Porc (Effluents)'!$D$8&lt;&gt;"", 'Porc (Effluents)'!$D$8,'Porc (Effluents)'!$I$17))+ IF('Porc (Effluents)'!$C$9="Fumière ( fumier paille frais )", IF('Porc (Effluents)'!$D$9&lt;&gt;"", 'Porc (Effluents)'!$D$9,'Porc (Effluents)'!$I$18))</f>
        <v>0</v>
      </c>
      <c r="D376" s="415" t="s">
        <v>303</v>
      </c>
      <c r="E376" s="262" t="str">
        <f>IF(C376&lt;&gt;0,N357,"-")</f>
        <v>-</v>
      </c>
      <c r="F376" s="263" t="str">
        <f>IF(C376&lt;&gt;0,(8.9343*E376/C376*100-24.562)/1000*C376,"-")</f>
        <v>-</v>
      </c>
      <c r="G376" s="263" t="str">
        <f>IF(C376&lt;&gt;0,F376/2,"-")</f>
        <v>-</v>
      </c>
      <c r="H376" s="446" t="str">
        <f>IF(C376&lt;&gt;0,Param_porcs!C126,"-")</f>
        <v>-</v>
      </c>
      <c r="I376" s="263" t="str">
        <f t="shared" si="17"/>
        <v>-</v>
      </c>
      <c r="J376" s="332" t="str">
        <f>IF(C376&lt;&gt;0,Param_porcs!E126,"-")</f>
        <v>-</v>
      </c>
      <c r="K376" s="447" t="str">
        <f>IF(C376&lt;&gt;0,Param_porcs!G126,"-")</f>
        <v>-</v>
      </c>
      <c r="L376" s="263" t="str">
        <f>IF(C376&lt;&gt;0,Param_porcs!H126,"-")</f>
        <v>-</v>
      </c>
      <c r="M376" s="448" t="str">
        <f>IF(C376&lt;&gt;0,Param_porcs!I126,"-")</f>
        <v>-</v>
      </c>
      <c r="N376" s="47"/>
      <c r="O376" s="420"/>
      <c r="P376" s="180">
        <f t="shared" si="18"/>
        <v>0</v>
      </c>
      <c r="Q376" s="180">
        <f>P376*0.322</f>
        <v>0</v>
      </c>
      <c r="R376" s="421"/>
      <c r="S376" s="47"/>
    </row>
    <row r="377" spans="1:19" x14ac:dyDescent="0.25">
      <c r="A377" s="260"/>
      <c r="B377" s="445" t="s">
        <v>524</v>
      </c>
      <c r="C377" s="419">
        <f>IF('Porc (Effluents)'!$C$7="Fumière (fumier paille compostée)", IF('Porc (Effluents)'!$D$7&lt;&gt;"", 'Porc (Effluents)'!$D$7,'Porc (Effluents)'!$I$24))+ IF('Porc (Effluents)'!$C$8="Fumière (fumier paille compostée)", IF('Porc (Effluents)'!$D$8&lt;&gt;"", 'Porc (Effluents)'!$D$8,'Porc (Effluents)'!$I$25))+ IF('Porc (Effluents)'!$C$9="Fumière (fumier paille compostée)", IF('Porc (Effluents)'!$D$9&lt;&gt;"", 'Porc (Effluents)'!$D$9,'Porc (Effluents)'!$I$26))</f>
        <v>100</v>
      </c>
      <c r="D377" s="415" t="s">
        <v>303</v>
      </c>
      <c r="E377" s="262">
        <f>IF(C377&lt;&gt;0,N358,"-")</f>
        <v>34.475212799999994</v>
      </c>
      <c r="F377" s="263">
        <f>IF(C377&lt;&gt;0,E377*0.656,"-")</f>
        <v>22.615739596799997</v>
      </c>
      <c r="G377" s="263">
        <f>IF(C377&lt;&gt;0,F377/2,"-")</f>
        <v>11.307869798399999</v>
      </c>
      <c r="H377" s="446">
        <f>IF(C377&lt;&gt;0,Param_porcs!C167,"-")</f>
        <v>921.49570207744</v>
      </c>
      <c r="I377" s="263">
        <f t="shared" si="17"/>
        <v>96.757048718131188</v>
      </c>
      <c r="J377" s="332">
        <f>IF(C377&lt;&gt;0,Param_porcs!E167,"-")</f>
        <v>1164.8</v>
      </c>
      <c r="K377" s="447">
        <f>IF(C377&lt;&gt;0,Param_porcs!G167,"-")</f>
        <v>2150.4</v>
      </c>
      <c r="L377" s="263">
        <f>IF(C377&lt;&gt;0,Param_porcs!H167,"-")</f>
        <v>54.118400000000001</v>
      </c>
      <c r="M377" s="448">
        <f>IF(C377&lt;&gt;0,Param_porcs!I167,"-")</f>
        <v>44.083199999999998</v>
      </c>
      <c r="N377" s="47"/>
      <c r="O377" s="420"/>
      <c r="P377" s="180">
        <f t="shared" si="18"/>
        <v>9.2149570207743992</v>
      </c>
      <c r="Q377" s="180">
        <f>P377*0.105</f>
        <v>0.96757048718131189</v>
      </c>
      <c r="R377" s="421"/>
      <c r="S377" s="47"/>
    </row>
    <row r="378" spans="1:19" x14ac:dyDescent="0.25">
      <c r="A378" s="260"/>
      <c r="B378" s="445" t="s">
        <v>525</v>
      </c>
      <c r="C378" s="419">
        <f>IF('Porc (Effluents)'!$C$7="Fumière ( litière sciure fraiche )", IF('Porc (Effluents)'!$D$7&lt;&gt;"", 'Porc (Effluents)'!$D$7,'Porc (Effluents)'!$I$32))+ IF('Porc (Effluents)'!$C$8="Fumière ( litière sciure fraiche )", IF('Porc (Effluents)'!$D$8&lt;&gt;"", 'Porc (Effluents)'!$D$8,'Porc (Effluents)'!$I$33))+ IF('Porc (Effluents)'!$C$9="Fumière ( litière sciure fraiche )", IF('Porc (Effluents)'!$D$9&lt;&gt;"", 'Porc (Effluents)'!$D$9,'Porc (Effluents)'!$I$34))</f>
        <v>1043.8400000000001</v>
      </c>
      <c r="D378" s="415" t="s">
        <v>303</v>
      </c>
      <c r="E378" s="262">
        <f>IF(C378&lt;&gt;0,N359,"-")</f>
        <v>336.11648000000008</v>
      </c>
      <c r="F378" s="263">
        <f>IF(C378&lt;&gt;0,(8.1603*E378/C378*100+6.4483)/1000*C378,"-")</f>
        <v>281.01212464640008</v>
      </c>
      <c r="G378" s="263">
        <f>IF(C378&lt;&gt;0,F378/2,"-")</f>
        <v>140.50606232320004</v>
      </c>
      <c r="H378" s="446">
        <f>IF(C378&lt;&gt;0,Param_porcs!C208,"-")</f>
        <v>5107.2000000000007</v>
      </c>
      <c r="I378" s="263">
        <f t="shared" si="17"/>
        <v>868.22400000000027</v>
      </c>
      <c r="J378" s="332">
        <f>IF(C378&lt;&gt;0,Param_porcs!E208,"-")</f>
        <v>6496</v>
      </c>
      <c r="K378" s="447">
        <f>IF(C378&lt;&gt;0,Param_porcs!G208,"-")</f>
        <v>8736</v>
      </c>
      <c r="L378" s="263">
        <f>IF(C378&lt;&gt;0,Param_porcs!H208,"-")</f>
        <v>18.6816</v>
      </c>
      <c r="M378" s="448">
        <f>IF(C378&lt;&gt;0,Param_porcs!I208,"-")</f>
        <v>100.44160000000001</v>
      </c>
      <c r="N378" s="47"/>
      <c r="O378" s="420"/>
      <c r="P378" s="180">
        <f t="shared" si="18"/>
        <v>4.8927038626609445</v>
      </c>
      <c r="Q378" s="180">
        <f>P378*0.17</f>
        <v>0.83175965665236062</v>
      </c>
      <c r="R378" s="421"/>
      <c r="S378" s="47"/>
    </row>
    <row r="379" spans="1:19" x14ac:dyDescent="0.25">
      <c r="A379" s="260"/>
      <c r="B379" s="445" t="s">
        <v>526</v>
      </c>
      <c r="C379" s="419">
        <f>IF('Porc (Effluents)'!$C$7="Fumière (litière sciure compostée)", IF('Porc (Effluents)'!$D$7&lt;&gt;"", 'Porc (Effluents)'!$D$7,'Porc (Effluents)'!$I$40))+ IF('Porc (Effluents)'!$C$8="Fumière (litière sciure compostée)", IF('Porc (Effluents)'!$D$8&lt;&gt;"", 'Porc (Effluents)'!$D$8,'Porc (Effluents)'!$I$41))+ IF('Porc (Effluents)'!$C$9="Fumière (litière sciure compostée)", IF('Porc (Effluents)'!$D$9&lt;&gt;"", 'Porc (Effluents)'!$D$9,'Porc (Effluents)'!$I$42))</f>
        <v>0</v>
      </c>
      <c r="D379" s="415" t="s">
        <v>303</v>
      </c>
      <c r="E379" s="262" t="str">
        <f>IF(C379&lt;&gt;0,N360,"-")</f>
        <v>-</v>
      </c>
      <c r="F379" s="263" t="str">
        <f>IF(C379&lt;&gt;0,E379*0.788,"-")</f>
        <v>-</v>
      </c>
      <c r="G379" s="263" t="str">
        <f>IF(C379&lt;&gt;0,F379/2,"-")</f>
        <v>-</v>
      </c>
      <c r="H379" s="446" t="str">
        <f>IF(C379&lt;&gt;0,Param_porcs!C250,"-")</f>
        <v>-</v>
      </c>
      <c r="I379" s="263" t="str">
        <f t="shared" si="17"/>
        <v>-</v>
      </c>
      <c r="J379" s="332" t="str">
        <f>IF(C379&lt;&gt;0,Param_porcs!E250,"-")</f>
        <v>-</v>
      </c>
      <c r="K379" s="447" t="str">
        <f>IF(C379&lt;&gt;0,Param_porcs!G250,"-")</f>
        <v>-</v>
      </c>
      <c r="L379" s="256" t="str">
        <f>IF(C379&lt;&gt;0,Param_porcs!H250,"-")</f>
        <v>-</v>
      </c>
      <c r="M379" s="448" t="str">
        <f>IF(C379&lt;&gt;0,Param_porcs!I250,"-")</f>
        <v>-</v>
      </c>
      <c r="N379" s="47"/>
      <c r="O379" s="420"/>
      <c r="P379" s="180">
        <f t="shared" si="18"/>
        <v>0</v>
      </c>
      <c r="Q379" s="180">
        <f>P379*0.17</f>
        <v>0</v>
      </c>
      <c r="R379" s="421"/>
      <c r="S379" s="47"/>
    </row>
    <row r="380" spans="1:19" ht="15.75" thickBot="1" x14ac:dyDescent="0.3">
      <c r="A380" s="449"/>
      <c r="B380" s="450"/>
      <c r="C380" s="451"/>
      <c r="D380" s="304"/>
      <c r="E380" s="452"/>
      <c r="F380" s="414"/>
      <c r="G380" s="414"/>
      <c r="H380" s="452"/>
      <c r="I380" s="414"/>
      <c r="J380" s="414"/>
      <c r="K380" s="453"/>
      <c r="L380" s="414"/>
      <c r="M380" s="454"/>
      <c r="N380" s="47"/>
      <c r="O380" s="422"/>
      <c r="P380" s="241"/>
      <c r="Q380" s="241"/>
      <c r="R380" s="310"/>
      <c r="S380" s="47"/>
    </row>
    <row r="381" spans="1:19" x14ac:dyDescent="0.25">
      <c r="A381" s="47"/>
      <c r="B381" s="47"/>
      <c r="C381" s="47"/>
      <c r="D381" s="47"/>
      <c r="E381" s="47"/>
      <c r="F381" s="47"/>
      <c r="G381" s="47"/>
      <c r="H381" s="47"/>
      <c r="I381" s="47"/>
      <c r="J381" s="47"/>
      <c r="K381" s="47"/>
      <c r="L381" s="47"/>
      <c r="M381" s="47"/>
      <c r="N381" s="47"/>
      <c r="O381" s="47"/>
      <c r="P381" s="47"/>
      <c r="Q381" s="47"/>
      <c r="R381" s="47"/>
      <c r="S381" s="47"/>
    </row>
  </sheetData>
  <sheetProtection password="A53B" sheet="1" objects="1" scenarios="1"/>
  <mergeCells count="48">
    <mergeCell ref="G211:H211"/>
    <mergeCell ref="G194:H194"/>
    <mergeCell ref="G195:H195"/>
    <mergeCell ref="G196:H196"/>
    <mergeCell ref="D200:E200"/>
    <mergeCell ref="F200:G200"/>
    <mergeCell ref="G155:H155"/>
    <mergeCell ref="D159:E159"/>
    <mergeCell ref="F159:G159"/>
    <mergeCell ref="G170:H170"/>
    <mergeCell ref="G153:H153"/>
    <mergeCell ref="G154:H154"/>
    <mergeCell ref="G87:H87"/>
    <mergeCell ref="G71:H71"/>
    <mergeCell ref="G72:H72"/>
    <mergeCell ref="G73:H73"/>
    <mergeCell ref="D76:E76"/>
    <mergeCell ref="F76:G76"/>
    <mergeCell ref="G32:H32"/>
    <mergeCell ref="G48:H48"/>
    <mergeCell ref="G34:H34"/>
    <mergeCell ref="D37:E37"/>
    <mergeCell ref="F37:G37"/>
    <mergeCell ref="G33:H33"/>
    <mergeCell ref="G129:H129"/>
    <mergeCell ref="G112:H112"/>
    <mergeCell ref="G113:H113"/>
    <mergeCell ref="G114:H114"/>
    <mergeCell ref="D118:E118"/>
    <mergeCell ref="F118:G118"/>
    <mergeCell ref="D278:E278"/>
    <mergeCell ref="D279:E279"/>
    <mergeCell ref="G253:H253"/>
    <mergeCell ref="G236:H236"/>
    <mergeCell ref="G237:H237"/>
    <mergeCell ref="G238:H238"/>
    <mergeCell ref="D242:E242"/>
    <mergeCell ref="F242:G242"/>
    <mergeCell ref="E371:M371"/>
    <mergeCell ref="H373:M373"/>
    <mergeCell ref="E373:G373"/>
    <mergeCell ref="H326:H327"/>
    <mergeCell ref="C324:D324"/>
    <mergeCell ref="C326:C327"/>
    <mergeCell ref="D326:D327"/>
    <mergeCell ref="G326:G327"/>
    <mergeCell ref="G355:H355"/>
    <mergeCell ref="I355:J355"/>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57"/>
  <sheetViews>
    <sheetView showRowColHeaders="0" workbookViewId="0">
      <selection activeCell="F7" sqref="F7"/>
    </sheetView>
  </sheetViews>
  <sheetFormatPr baseColWidth="10" defaultRowHeight="15" x14ac:dyDescent="0.25"/>
  <cols>
    <col min="1" max="1" width="26" customWidth="1"/>
    <col min="2" max="2" width="14.85546875" style="643" customWidth="1"/>
    <col min="4" max="4" width="20.42578125" customWidth="1"/>
    <col min="16" max="25" width="11.42578125" style="905"/>
  </cols>
  <sheetData>
    <row r="1" spans="1:25" ht="23.25" x14ac:dyDescent="0.35">
      <c r="A1" s="1034" t="s">
        <v>1059</v>
      </c>
      <c r="B1" s="1155" t="str">
        <f>'Feuille saisie commune'!C19</f>
        <v>Dinde de chair</v>
      </c>
      <c r="C1" s="1155"/>
      <c r="D1" s="1155"/>
      <c r="E1" s="645"/>
      <c r="F1" s="1155" t="str">
        <f>'Feuille saisie commune'!D19</f>
        <v>Standard</v>
      </c>
      <c r="G1" s="1155"/>
      <c r="H1" s="1155"/>
      <c r="I1" s="1155"/>
      <c r="J1" s="645"/>
      <c r="K1" s="645"/>
      <c r="L1" s="644"/>
      <c r="M1" s="644"/>
      <c r="N1" s="644"/>
      <c r="O1" s="644"/>
    </row>
    <row r="2" spans="1:25" ht="15.75" thickBot="1" x14ac:dyDescent="0.3">
      <c r="A2" s="644"/>
      <c r="B2" s="813"/>
      <c r="C2" s="647"/>
      <c r="D2" s="647"/>
      <c r="E2" s="647"/>
      <c r="F2" s="647"/>
      <c r="G2" s="647"/>
      <c r="H2" s="647"/>
      <c r="I2" s="647"/>
      <c r="J2" s="647"/>
      <c r="K2" s="647"/>
      <c r="L2" s="647"/>
      <c r="M2" s="647"/>
      <c r="N2" s="647"/>
      <c r="O2" s="647"/>
    </row>
    <row r="3" spans="1:25" ht="15.75" thickBot="1" x14ac:dyDescent="0.3">
      <c r="A3" s="1156" t="s">
        <v>1060</v>
      </c>
      <c r="B3" s="1157"/>
      <c r="C3" s="647"/>
      <c r="D3" s="801"/>
      <c r="E3" s="360" t="s">
        <v>1061</v>
      </c>
      <c r="F3" s="360"/>
      <c r="G3" s="360"/>
      <c r="H3" s="360"/>
      <c r="I3" s="360"/>
      <c r="J3" s="360"/>
      <c r="K3" s="360"/>
      <c r="L3" s="646"/>
      <c r="M3" s="646" t="s">
        <v>1062</v>
      </c>
      <c r="N3" s="646"/>
      <c r="O3" s="646"/>
    </row>
    <row r="4" spans="1:25" x14ac:dyDescent="0.25">
      <c r="A4" s="648" t="s">
        <v>1063</v>
      </c>
      <c r="B4" s="687">
        <v>7</v>
      </c>
      <c r="C4" s="647"/>
      <c r="D4" s="360"/>
      <c r="E4" s="360"/>
      <c r="F4" s="360" t="s">
        <v>58</v>
      </c>
      <c r="G4" s="360" t="s">
        <v>59</v>
      </c>
      <c r="H4" s="360" t="s">
        <v>60</v>
      </c>
      <c r="I4" s="360" t="s">
        <v>1064</v>
      </c>
      <c r="J4" s="360" t="s">
        <v>607</v>
      </c>
      <c r="K4" s="360" t="s">
        <v>608</v>
      </c>
      <c r="L4" s="646"/>
      <c r="M4" s="646"/>
      <c r="N4" s="646" t="s">
        <v>58</v>
      </c>
      <c r="O4" s="646" t="s">
        <v>59</v>
      </c>
      <c r="P4" s="905" t="s">
        <v>60</v>
      </c>
      <c r="Q4" s="905" t="s">
        <v>1064</v>
      </c>
      <c r="R4" s="905" t="s">
        <v>607</v>
      </c>
      <c r="S4" s="905" t="s">
        <v>608</v>
      </c>
    </row>
    <row r="5" spans="1:25" x14ac:dyDescent="0.25">
      <c r="A5" s="649" t="s">
        <v>1065</v>
      </c>
      <c r="B5" s="688">
        <v>3</v>
      </c>
      <c r="C5" s="647"/>
      <c r="D5" s="360"/>
      <c r="E5" s="360" t="s">
        <v>598</v>
      </c>
      <c r="F5" s="360">
        <f>VLOOKUP($B$1,Param_volailles!$A$47:$G$51,2,FALSE)*$B$4*'Feuille saisie commune'!$E$19</f>
        <v>7526400.0000000009</v>
      </c>
      <c r="G5" s="360">
        <f>VLOOKUP($B$1,Param_volailles!$A$47:$G$51,3,FALSE)*$B$4*'Feuille saisie commune'!$E$19</f>
        <v>1113000</v>
      </c>
      <c r="H5" s="360">
        <f>VLOOKUP($B$1,Param_volailles!$A$47:$G$51,4,FALSE)*$B$4*'Feuille saisie commune'!$E$19</f>
        <v>420000</v>
      </c>
      <c r="I5" s="360">
        <f>VLOOKUP($B$1,Param_volailles!$A$47:$G$51,5,FALSE)*$B$4*'Feuille saisie commune'!$E$19</f>
        <v>2520000</v>
      </c>
      <c r="J5" s="360">
        <f>VLOOKUP($B$1,Param_volailles!$A$47:$G$51,6,FALSE)*$B$4*'Feuille saisie commune'!$E$19</f>
        <v>294</v>
      </c>
      <c r="K5" s="360">
        <f>VLOOKUP($B$1,Param_volailles!$A$47:$G$51,7,FALSE)*$B$4*'Feuille saisie commune'!$E$19</f>
        <v>4620</v>
      </c>
      <c r="L5" s="646"/>
      <c r="M5" s="650" t="s">
        <v>1066</v>
      </c>
      <c r="N5" s="651">
        <f t="shared" ref="N5:R5" si="0">+F6/1000</f>
        <v>14488.32</v>
      </c>
      <c r="O5" s="651">
        <f t="shared" si="0"/>
        <v>2802.7969199999998</v>
      </c>
      <c r="P5" s="1025">
        <f t="shared" si="0"/>
        <v>3896.1999999999985</v>
      </c>
      <c r="Q5" s="1025">
        <f t="shared" si="0"/>
        <v>4265.7999999999993</v>
      </c>
      <c r="R5" s="1025">
        <f t="shared" si="0"/>
        <v>8.7780000000000005</v>
      </c>
      <c r="S5" s="1025">
        <f>+K6/1000</f>
        <v>42.194459999999999</v>
      </c>
    </row>
    <row r="6" spans="1:25" x14ac:dyDescent="0.25">
      <c r="A6" s="649" t="s">
        <v>1067</v>
      </c>
      <c r="B6" s="688">
        <v>5</v>
      </c>
      <c r="C6" s="647"/>
      <c r="D6" s="360"/>
      <c r="E6" s="360" t="s">
        <v>1068</v>
      </c>
      <c r="F6" s="652">
        <f>IF($B$1=Param_volailles!$A$43, VLOOKUP($B$1,Param_volailles!$A$39:$G$43,2,FALSE)*$B$10*$B$7, VLOOKUP($B$1,Param_volailles!$A$39:$G$43,2,FALSE)*$B$4*'Feuille saisie commune'!$E$19*$B$7)</f>
        <v>14488320</v>
      </c>
      <c r="G6" s="652">
        <f>IF($B$1=Param_volailles!$A$43, VLOOKUP($B$1,Param_volailles!$A$39:$G$43,3,FALSE)*$B$10*$B$7, VLOOKUP($B$1,Param_volailles!$A$39:$G$43,3,FALSE)*$B$4*'Feuille saisie commune'!$E$19*$B$7)</f>
        <v>2802796.92</v>
      </c>
      <c r="H6" s="652">
        <f>IF($B$1=Param_volailles!$A$43, VLOOKUP($B$1,Param_volailles!$A$39:$G$43,4,FALSE)*$B$10*$B$7, VLOOKUP($B$1,Param_volailles!$A$39:$G$43,4,FALSE)*$B$4*'Feuille saisie commune'!$E$19*$B$7)</f>
        <v>3896199.9999999986</v>
      </c>
      <c r="I6" s="652">
        <f>IF($B$1=Param_volailles!$A$43, VLOOKUP($B$1,Param_volailles!$A$39:$G$43,5,FALSE)*$B$10*$B$7, VLOOKUP($B$1,Param_volailles!$A$39:$G$43,5,FALSE)*$B$4*'Feuille saisie commune'!$E$19*$B$7)</f>
        <v>4265799.9999999991</v>
      </c>
      <c r="J6" s="652">
        <f>IF($B$1=Param_volailles!$A$43, VLOOKUP($B$1,Param_volailles!$A$39:$G$43,6,FALSE)*$B$10*$B$7, VLOOKUP($B$1,Param_volailles!$A$39:$G$43,6,FALSE)*$B$4*'Feuille saisie commune'!$E$19*$B$7)</f>
        <v>8778</v>
      </c>
      <c r="K6" s="652">
        <f>IF($B$1=Param_volailles!$A$43, VLOOKUP($B$1,Param_volailles!$A$39:$G$43,7,FALSE)*$B$10*$B$7, VLOOKUP($B$1,Param_volailles!$A$39:$G$43,7,FALSE)*$B$4*'Feuille saisie commune'!$E$19*$B$7)</f>
        <v>42194.46</v>
      </c>
      <c r="L6" s="646"/>
      <c r="M6" s="650" t="s">
        <v>1069</v>
      </c>
      <c r="N6" s="646">
        <f t="shared" ref="N6:R6" si="1">F8/1000</f>
        <v>19.740000000000002</v>
      </c>
      <c r="O6" s="646">
        <f t="shared" si="1"/>
        <v>2.0999999999999996</v>
      </c>
      <c r="P6" s="905">
        <f t="shared" si="1"/>
        <v>28.200000000000003</v>
      </c>
      <c r="Q6" s="905">
        <f t="shared" si="1"/>
        <v>0</v>
      </c>
      <c r="R6" s="905">
        <f t="shared" si="1"/>
        <v>0</v>
      </c>
      <c r="S6" s="905">
        <f>K8/1000</f>
        <v>0</v>
      </c>
    </row>
    <row r="7" spans="1:25" x14ac:dyDescent="0.25">
      <c r="A7" s="649" t="str">
        <f>IF(B1="Poules Pondeuses", "IC (kg aliment/kg œufs)","IC (kg Aliment/kg vif)")</f>
        <v>IC (kg Aliment/kg vif)</v>
      </c>
      <c r="B7" s="688">
        <v>2.2000000000000002</v>
      </c>
      <c r="C7" s="647"/>
      <c r="D7" s="360"/>
      <c r="E7" s="360" t="s">
        <v>1070</v>
      </c>
      <c r="F7" s="360">
        <f>IF($B$1=Param_volailles!$A$51,VLOOKUP($B$1,Param_volailles!$A$52:$G$52,2,FALSE),0)*$B$10</f>
        <v>0</v>
      </c>
      <c r="G7" s="360">
        <f>IF($B$1=Param_volailles!$A$51,VLOOKUP($B$1,Param_volailles!$A$52:$G$52,3,FALSE),0)*$B$10</f>
        <v>0</v>
      </c>
      <c r="H7" s="360">
        <f>IF($B$1=Param_volailles!$A$51,VLOOKUP($B$1,Param_volailles!$A$52:$G$52,4,FALSE),0)*$B$10</f>
        <v>0</v>
      </c>
      <c r="I7" s="360">
        <f>IF($B$1=Param_volailles!$A$51,VLOOKUP($B$1,Param_volailles!$A$52:$G$52,5,FALSE),0)*$B$10</f>
        <v>0</v>
      </c>
      <c r="J7" s="360">
        <f>IF($B$1=Param_volailles!$A$51,VLOOKUP($B$1,Param_volailles!$A$52:$G$52,6,FALSE),0)*$B$10</f>
        <v>0</v>
      </c>
      <c r="K7" s="360">
        <f>IF($B$1=Param_volailles!$A$51,VLOOKUP($B$1,Param_volailles!$A$52:$G$52,7,FALSE),0)*$B$10</f>
        <v>0</v>
      </c>
      <c r="L7" s="646"/>
      <c r="M7" s="650" t="s">
        <v>1071</v>
      </c>
      <c r="N7" s="651">
        <f t="shared" ref="N7:S7" si="2">+F5/1000</f>
        <v>7526.4000000000005</v>
      </c>
      <c r="O7" s="651">
        <f t="shared" si="2"/>
        <v>1113</v>
      </c>
      <c r="P7" s="1025">
        <f t="shared" si="2"/>
        <v>420</v>
      </c>
      <c r="Q7" s="1025">
        <f t="shared" si="2"/>
        <v>2520</v>
      </c>
      <c r="R7" s="1025">
        <f t="shared" si="2"/>
        <v>0.29399999999999998</v>
      </c>
      <c r="S7" s="1025">
        <f t="shared" si="2"/>
        <v>4.62</v>
      </c>
    </row>
    <row r="8" spans="1:25" x14ac:dyDescent="0.25">
      <c r="A8" s="653" t="s">
        <v>1072</v>
      </c>
      <c r="B8" s="688">
        <v>1</v>
      </c>
      <c r="C8" s="647"/>
      <c r="D8" s="360"/>
      <c r="E8" s="360" t="str">
        <f>A17</f>
        <v>Paille + copeaux</v>
      </c>
      <c r="F8" s="360">
        <f>VLOOKUP($E$8,Param_volailles!$A$17:$G$19,5,FALSE)*$B$17*1000</f>
        <v>19740.000000000004</v>
      </c>
      <c r="G8" s="360">
        <f>VLOOKUP($E$8,Param_volailles!$A$17:$G$19,6,FALSE)*$B$17*1000</f>
        <v>2099.9999999999995</v>
      </c>
      <c r="H8" s="360">
        <f>VLOOKUP($E$8,Param_volailles!$A$17:$G$19,7,FALSE)*$B$17*1000</f>
        <v>28200.000000000004</v>
      </c>
      <c r="I8" s="360"/>
      <c r="J8" s="360"/>
      <c r="K8" s="360"/>
      <c r="L8" s="646"/>
      <c r="M8" s="650" t="s">
        <v>1073</v>
      </c>
      <c r="N8" s="651">
        <f>$B$10*IF($B$1=[1]Param_volailles!$A$43,(VLOOKUP($B$1,[1]Param_volailles!$A$52:$H$52,2,FALSE)),0)/1000</f>
        <v>0</v>
      </c>
      <c r="O8" s="651">
        <f>$B$10*IF($B$1=[1]Param_volailles!$A$43,(VLOOKUP($B$1,[1]Param_volailles!$A$52:$H$52,3,FALSE)),0)/1000</f>
        <v>0</v>
      </c>
      <c r="P8" s="1025">
        <f>$B$10*IF($B$1=[1]Param_volailles!$A$43,(VLOOKUP($B$1,[1]Param_volailles!$A$52:$H$52,4,FALSE)),0)/1000</f>
        <v>0</v>
      </c>
      <c r="Q8" s="1025">
        <f>$B$10*IF($B$1=[1]Param_volailles!$A$43,(VLOOKUP($B$1,[1]Param_volailles!$A$52:$H$52,5,FALSE)),0)/1000</f>
        <v>0</v>
      </c>
      <c r="R8" s="1025">
        <f>$B$10*IF($B$1=[1]Param_volailles!$A$43,(VLOOKUP($B$1,[1]Param_volailles!$A$52:$H$52,6,FALSE)),0)/1000</f>
        <v>0</v>
      </c>
      <c r="S8" s="1025">
        <f>$B$10*IF($B$1=[1]Param_volailles!$A$43,(VLOOKUP($B$1,[1]Param_volailles!$A$52:$H$52,7,FALSE)),0)/1000</f>
        <v>0</v>
      </c>
    </row>
    <row r="9" spans="1:25" x14ac:dyDescent="0.25">
      <c r="A9" s="654" t="s">
        <v>1074</v>
      </c>
      <c r="B9" s="814">
        <v>40000</v>
      </c>
      <c r="C9" s="647"/>
      <c r="D9" s="360"/>
      <c r="E9" s="360"/>
      <c r="F9" s="360"/>
      <c r="G9" s="360"/>
      <c r="H9" s="360"/>
      <c r="I9" s="360"/>
      <c r="J9" s="360"/>
      <c r="K9" s="360"/>
      <c r="L9" s="646"/>
      <c r="M9" s="650" t="s">
        <v>1075</v>
      </c>
      <c r="N9" s="655">
        <f>$B$9*$B$6/100*$B$5*VLOOKUP($B$1,Param_volailles!$A$47:$H$52,2,FALSE)/1000</f>
        <v>215.04000000000002</v>
      </c>
      <c r="O9" s="655">
        <f>$B$9*$B$6/100*$B$5*VLOOKUP($B$1,Param_volailles!$A$47:$H$52,3,FALSE)/1000</f>
        <v>31.8</v>
      </c>
      <c r="P9" s="1026">
        <f>$B$9*$B$6/100*$B$5*VLOOKUP($B$1,Param_volailles!$A$47:$H$52,4,FALSE)/1000</f>
        <v>12</v>
      </c>
      <c r="Q9" s="1026">
        <f>$B$9*$B$6/100*$B$5*VLOOKUP($B$1,Param_volailles!$A$47:$H$52,5,FALSE)/1000</f>
        <v>72</v>
      </c>
      <c r="R9" s="1026">
        <f>$B$9*$B$6/100*$B$5*VLOOKUP($B$1,Param_volailles!$A$47:$H$52,6,FALSE)/1000</f>
        <v>8.4000000000000012E-3</v>
      </c>
      <c r="S9" s="1026">
        <f>$B$9*$B$6/100*$B$5*VLOOKUP($B$1,Param_volailles!$A$47:$H$52,7,FALSE)/1000</f>
        <v>0.13200000000000001</v>
      </c>
    </row>
    <row r="10" spans="1:25" ht="15.75" thickBot="1" x14ac:dyDescent="0.3">
      <c r="A10" s="656" t="str">
        <f>IF(B1="Poules Pondeuses", "Quantité d'œufs produits (kg)", " " )</f>
        <v xml:space="preserve"> </v>
      </c>
      <c r="B10" s="693"/>
      <c r="C10" s="647"/>
      <c r="D10" s="646"/>
      <c r="E10" s="646"/>
      <c r="F10" s="646"/>
      <c r="G10" s="646"/>
      <c r="H10" s="646"/>
      <c r="I10" s="646"/>
      <c r="J10" s="646"/>
      <c r="K10" s="646"/>
      <c r="L10" s="646"/>
      <c r="M10" s="650" t="s">
        <v>1076</v>
      </c>
      <c r="N10" s="651">
        <f>N5+N6-N9-N7-N8</f>
        <v>6766.6199999999981</v>
      </c>
      <c r="O10" s="651">
        <f>O5+O6-O8-O7-O9</f>
        <v>1660.0969199999997</v>
      </c>
      <c r="P10" s="1025">
        <f t="shared" ref="P10:S10" si="3">P5+P6-P8-P7-P9</f>
        <v>3492.3999999999983</v>
      </c>
      <c r="Q10" s="1025">
        <f t="shared" si="3"/>
        <v>1673.7999999999993</v>
      </c>
      <c r="R10" s="1025">
        <f>R5+R6-R8-R7-R9</f>
        <v>8.4756</v>
      </c>
      <c r="S10" s="1025">
        <f t="shared" si="3"/>
        <v>37.442460000000004</v>
      </c>
    </row>
    <row r="11" spans="1:25" ht="15.75" thickBot="1" x14ac:dyDescent="0.3">
      <c r="A11" s="644"/>
      <c r="B11" s="813"/>
      <c r="C11" s="647"/>
      <c r="D11" s="647"/>
      <c r="E11" s="647"/>
      <c r="F11" s="647"/>
      <c r="G11" s="647"/>
      <c r="H11" s="647"/>
      <c r="I11" s="647"/>
      <c r="J11" s="646"/>
      <c r="K11" s="646"/>
      <c r="L11" s="646"/>
      <c r="M11" s="650" t="s">
        <v>1077</v>
      </c>
      <c r="N11" s="651">
        <f>$B$13*N10</f>
        <v>6766.6199999999981</v>
      </c>
      <c r="O11" s="651">
        <f t="shared" ref="O11:S11" si="4">$B$13*O10</f>
        <v>1660.0969199999997</v>
      </c>
      <c r="P11" s="1025">
        <f t="shared" si="4"/>
        <v>3492.3999999999983</v>
      </c>
      <c r="Q11" s="1025">
        <f t="shared" si="4"/>
        <v>1673.7999999999993</v>
      </c>
      <c r="R11" s="1025">
        <f t="shared" si="4"/>
        <v>8.4756</v>
      </c>
      <c r="S11" s="1025">
        <f t="shared" si="4"/>
        <v>37.442460000000004</v>
      </c>
    </row>
    <row r="12" spans="1:25" ht="15.75" thickBot="1" x14ac:dyDescent="0.3">
      <c r="A12" s="675" t="s">
        <v>1078</v>
      </c>
      <c r="B12" s="658"/>
      <c r="C12" s="647"/>
      <c r="D12" s="647"/>
      <c r="E12" s="646"/>
      <c r="F12" s="646"/>
      <c r="G12" s="646"/>
      <c r="H12" s="646"/>
      <c r="I12" s="646"/>
      <c r="J12" s="646"/>
      <c r="K12" s="646"/>
      <c r="L12" s="646"/>
      <c r="M12" s="650" t="s">
        <v>1079</v>
      </c>
      <c r="N12" s="651">
        <f>N10-N11</f>
        <v>0</v>
      </c>
      <c r="O12" s="651">
        <f t="shared" ref="O12:S12" si="5">O10-O11</f>
        <v>0</v>
      </c>
      <c r="P12" s="1025">
        <f>P10-P11</f>
        <v>0</v>
      </c>
      <c r="Q12" s="1025">
        <f t="shared" si="5"/>
        <v>0</v>
      </c>
      <c r="R12" s="1025">
        <f>R10-R11</f>
        <v>0</v>
      </c>
      <c r="S12" s="1025">
        <f t="shared" si="5"/>
        <v>0</v>
      </c>
    </row>
    <row r="13" spans="1:25" x14ac:dyDescent="0.25">
      <c r="A13" s="648" t="s">
        <v>403</v>
      </c>
      <c r="B13" s="702">
        <v>1</v>
      </c>
      <c r="C13" s="647"/>
      <c r="D13" s="647"/>
      <c r="E13" s="646"/>
      <c r="F13" s="646"/>
      <c r="G13" s="646"/>
      <c r="H13" s="646"/>
      <c r="I13" s="646"/>
      <c r="J13" s="646"/>
      <c r="K13" s="646"/>
      <c r="L13" s="646"/>
      <c r="M13" s="650" t="s">
        <v>1080</v>
      </c>
      <c r="N13" s="646"/>
      <c r="O13" s="646"/>
    </row>
    <row r="14" spans="1:25" ht="15.75" thickBot="1" x14ac:dyDescent="0.3">
      <c r="A14" s="656" t="s">
        <v>1081</v>
      </c>
      <c r="B14" s="703">
        <v>0</v>
      </c>
      <c r="C14" s="647"/>
      <c r="D14" s="647"/>
      <c r="E14" s="646"/>
      <c r="F14" s="646"/>
      <c r="G14" s="646"/>
      <c r="H14" s="646"/>
      <c r="I14" s="646"/>
      <c r="J14" s="646"/>
      <c r="K14" s="646"/>
      <c r="L14" s="646"/>
      <c r="M14" s="646"/>
      <c r="N14" s="646"/>
      <c r="O14" s="646"/>
    </row>
    <row r="15" spans="1:25" ht="19.5" thickBot="1" x14ac:dyDescent="0.35">
      <c r="A15" s="644"/>
      <c r="B15" s="813"/>
      <c r="C15" s="647"/>
      <c r="D15" s="802" t="s">
        <v>1082</v>
      </c>
      <c r="E15" s="660"/>
      <c r="F15" s="660"/>
      <c r="G15" s="660"/>
      <c r="H15" s="660"/>
      <c r="I15" s="660"/>
      <c r="J15" s="660"/>
      <c r="K15" s="660"/>
      <c r="L15" s="660"/>
      <c r="M15" s="660"/>
      <c r="N15" s="646"/>
      <c r="O15" s="1030" t="s">
        <v>1083</v>
      </c>
      <c r="P15" s="1027"/>
      <c r="Q15" s="1027"/>
      <c r="R15" s="1027"/>
      <c r="S15" s="1027"/>
      <c r="T15" s="1027"/>
      <c r="U15" s="1027"/>
      <c r="V15" s="1027"/>
      <c r="W15" s="1027"/>
      <c r="X15" s="1027"/>
    </row>
    <row r="16" spans="1:25" ht="15.75" thickBot="1" x14ac:dyDescent="0.3">
      <c r="A16" s="662" t="s">
        <v>1084</v>
      </c>
      <c r="B16" s="663"/>
      <c r="C16" s="647"/>
      <c r="D16" s="803" t="s">
        <v>1085</v>
      </c>
      <c r="E16" s="804" t="s">
        <v>58</v>
      </c>
      <c r="F16" s="805" t="s">
        <v>510</v>
      </c>
      <c r="G16" s="805" t="s">
        <v>511</v>
      </c>
      <c r="H16" s="805" t="s">
        <v>1064</v>
      </c>
      <c r="I16" s="805" t="s">
        <v>607</v>
      </c>
      <c r="J16" s="805" t="s">
        <v>608</v>
      </c>
      <c r="K16" s="805" t="s">
        <v>507</v>
      </c>
      <c r="L16" s="805" t="s">
        <v>1086</v>
      </c>
      <c r="M16" s="805" t="s">
        <v>900</v>
      </c>
      <c r="N16" s="806" t="s">
        <v>1087</v>
      </c>
      <c r="O16" s="362" t="s">
        <v>1085</v>
      </c>
      <c r="P16" s="937" t="s">
        <v>58</v>
      </c>
      <c r="Q16" s="937" t="s">
        <v>59</v>
      </c>
      <c r="R16" s="937" t="s">
        <v>60</v>
      </c>
      <c r="S16" s="937" t="s">
        <v>1064</v>
      </c>
      <c r="T16" s="937" t="s">
        <v>607</v>
      </c>
      <c r="U16" s="937" t="s">
        <v>608</v>
      </c>
      <c r="V16" s="937" t="s">
        <v>507</v>
      </c>
      <c r="W16" s="937" t="s">
        <v>1088</v>
      </c>
      <c r="X16" s="937" t="s">
        <v>1089</v>
      </c>
      <c r="Y16" s="937" t="s">
        <v>1087</v>
      </c>
    </row>
    <row r="17" spans="1:25" ht="16.5" thickBot="1" x14ac:dyDescent="0.3">
      <c r="A17" s="667" t="s">
        <v>1112</v>
      </c>
      <c r="B17" s="701">
        <v>6</v>
      </c>
      <c r="C17" s="647"/>
      <c r="D17" s="807" t="s">
        <v>1090</v>
      </c>
      <c r="E17" s="808">
        <f>((100-$B$25)/100*N11)/$B$20</f>
        <v>14.677198086124399</v>
      </c>
      <c r="F17" s="809">
        <f>O11/$B$20*2.29</f>
        <v>12.12638579521531</v>
      </c>
      <c r="G17" s="809">
        <f>P11/$B$20*1.21</f>
        <v>13.479438596491221</v>
      </c>
      <c r="H17" s="809">
        <f>(Q11)/$B$20</f>
        <v>5.3390749601275891</v>
      </c>
      <c r="I17" s="810">
        <f>(R11)/$B$20</f>
        <v>2.7035406698564593E-2</v>
      </c>
      <c r="J17" s="809">
        <f>(S11)/$B$20</f>
        <v>0.11943368421052633</v>
      </c>
      <c r="K17" s="809">
        <f>W17*10/2</f>
        <v>208</v>
      </c>
      <c r="L17" s="809">
        <f>+W17</f>
        <v>41.6</v>
      </c>
      <c r="M17" s="811"/>
      <c r="N17" s="812"/>
      <c r="O17" s="669" t="s">
        <v>558</v>
      </c>
      <c r="P17" s="1028">
        <f>(100-$B$26)/100*E17</f>
        <v>12.475618373205739</v>
      </c>
      <c r="Q17" s="1028">
        <f>F17</f>
        <v>12.12638579521531</v>
      </c>
      <c r="R17" s="1028">
        <f>(100-$B$26)/100*G17</f>
        <v>11.457522807017538</v>
      </c>
      <c r="S17" s="1028">
        <f>H17</f>
        <v>5.3390749601275891</v>
      </c>
      <c r="T17" s="1029">
        <f>I17</f>
        <v>2.7035406698564593E-2</v>
      </c>
      <c r="U17" s="1028">
        <f>J17</f>
        <v>0.11943368421052633</v>
      </c>
      <c r="V17" s="1028">
        <f>(100-$B$26)/100*K17</f>
        <v>176.79999999999998</v>
      </c>
      <c r="W17" s="1028">
        <f>VLOOKUP(B1,[1]Param_volailles!A58:E62,5,FALSE)*X17</f>
        <v>41.6</v>
      </c>
      <c r="X17" s="1028">
        <f>VLOOKUP(B1,[1]Param_volailles!A58:E62,4,FALSE)*100</f>
        <v>52</v>
      </c>
      <c r="Y17" s="1028">
        <f>K17/E17</f>
        <v>14.171642215324466</v>
      </c>
    </row>
    <row r="18" spans="1:25" ht="19.5" thickBot="1" x14ac:dyDescent="0.35">
      <c r="A18" s="670"/>
      <c r="B18" s="815"/>
      <c r="C18" s="644"/>
      <c r="D18" s="671" t="s">
        <v>1091</v>
      </c>
      <c r="E18" s="672">
        <f>IF($B$21="non",P17,P21)</f>
        <v>6.6047391387559786</v>
      </c>
      <c r="F18" s="673">
        <f>IF($B$21="non",Q17,Q21)</f>
        <v>12.12638579521531</v>
      </c>
      <c r="G18" s="673">
        <f>IF($B$21="non",R17,R21)*1.21</f>
        <v>10.601578456140345</v>
      </c>
      <c r="H18" s="673">
        <f>IF($B$21="non",S17,S21)</f>
        <v>5.3390749601275891</v>
      </c>
      <c r="I18" s="673">
        <f>IF($B$21="non",T17,T21)</f>
        <v>2.7035406698564593E-2</v>
      </c>
      <c r="J18" s="673">
        <f>IF($B$21="non",U17,U21)</f>
        <v>0.11943368421052633</v>
      </c>
      <c r="K18" s="673">
        <f>IF($B$21="non",V17,V21)</f>
        <v>104</v>
      </c>
      <c r="L18" s="673">
        <f>IF($B$21="non",W17,W21)</f>
        <v>20.8</v>
      </c>
      <c r="M18" s="673">
        <f>X17</f>
        <v>52</v>
      </c>
      <c r="N18" s="674">
        <f>IF($B$21="non",Y17,Y21)</f>
        <v>15.746269128138298</v>
      </c>
      <c r="O18" s="661"/>
      <c r="P18" s="1027"/>
      <c r="Q18" s="1027"/>
      <c r="R18" s="1027"/>
      <c r="S18" s="1027"/>
      <c r="T18" s="1027"/>
      <c r="U18" s="1027"/>
      <c r="V18" s="1027"/>
      <c r="W18" s="1027"/>
      <c r="X18" s="1027"/>
      <c r="Y18" s="1027"/>
    </row>
    <row r="19" spans="1:25" ht="19.5" thickBot="1" x14ac:dyDescent="0.35">
      <c r="A19" s="675" t="s">
        <v>1092</v>
      </c>
      <c r="B19" s="658"/>
      <c r="C19" s="644"/>
      <c r="D19" s="644"/>
      <c r="E19" s="644"/>
      <c r="F19" s="644"/>
      <c r="G19" s="644"/>
      <c r="H19" s="644"/>
      <c r="I19" s="644"/>
      <c r="J19" s="644"/>
      <c r="K19" s="644"/>
      <c r="L19" s="644"/>
      <c r="M19" s="644"/>
      <c r="N19" s="644"/>
      <c r="O19" s="1030" t="s">
        <v>1093</v>
      </c>
      <c r="P19" s="1027"/>
      <c r="Q19" s="1027"/>
      <c r="R19" s="1027"/>
      <c r="S19" s="1027"/>
      <c r="T19" s="1027"/>
      <c r="U19" s="1027"/>
      <c r="V19" s="1027"/>
      <c r="W19" s="1027"/>
      <c r="X19" s="1027"/>
      <c r="Y19" s="1027"/>
    </row>
    <row r="20" spans="1:25" ht="15.75" thickBot="1" x14ac:dyDescent="0.3">
      <c r="A20" s="676" t="str">
        <f>VLOOKUP(B1,[2]Param_volailles!A22:B26,2,FALSE)</f>
        <v>Fumier</v>
      </c>
      <c r="B20" s="677">
        <f>VLOOKUP(B1,Param_volailles!A76:C80,2,FALSE)*'Feuille saisie commune'!E19/1000</f>
        <v>313.5</v>
      </c>
      <c r="C20" s="644"/>
      <c r="D20" s="644"/>
      <c r="E20" s="644"/>
      <c r="F20" s="644"/>
      <c r="G20" s="644"/>
      <c r="H20" s="644"/>
      <c r="I20" s="644"/>
      <c r="J20" s="644"/>
      <c r="K20" s="644"/>
      <c r="L20" s="644"/>
      <c r="M20" s="644"/>
      <c r="N20" s="644"/>
      <c r="O20" s="362" t="s">
        <v>1085</v>
      </c>
      <c r="P20" s="937" t="s">
        <v>58</v>
      </c>
      <c r="Q20" s="937" t="s">
        <v>59</v>
      </c>
      <c r="R20" s="937" t="s">
        <v>60</v>
      </c>
      <c r="S20" s="937" t="s">
        <v>1064</v>
      </c>
      <c r="T20" s="937" t="s">
        <v>607</v>
      </c>
      <c r="U20" s="937" t="s">
        <v>608</v>
      </c>
      <c r="V20" s="937" t="s">
        <v>507</v>
      </c>
      <c r="W20" s="937" t="s">
        <v>1088</v>
      </c>
      <c r="X20" s="937" t="s">
        <v>1089</v>
      </c>
      <c r="Y20" s="937" t="s">
        <v>1087</v>
      </c>
    </row>
    <row r="21" spans="1:25" ht="16.5" thickBot="1" x14ac:dyDescent="0.3">
      <c r="A21" s="678" t="s">
        <v>875</v>
      </c>
      <c r="B21" s="679" t="s">
        <v>718</v>
      </c>
      <c r="C21" s="644"/>
      <c r="D21" s="644"/>
      <c r="E21" s="644"/>
      <c r="F21" s="644"/>
      <c r="G21" s="644"/>
      <c r="H21" s="644"/>
      <c r="I21" s="644"/>
      <c r="J21" s="644"/>
      <c r="K21" s="644"/>
      <c r="L21" s="644"/>
      <c r="M21" s="644"/>
      <c r="N21" s="644"/>
      <c r="O21" s="669" t="s">
        <v>558</v>
      </c>
      <c r="P21" s="1028">
        <f>(100-$B$27)/100*E17</f>
        <v>6.6047391387559786</v>
      </c>
      <c r="Q21" s="1028">
        <f>F17</f>
        <v>12.12638579521531</v>
      </c>
      <c r="R21" s="1028">
        <f>(1-0.35)*G17</f>
        <v>8.7616350877192932</v>
      </c>
      <c r="S21" s="1028">
        <f>S17</f>
        <v>5.3390749601275891</v>
      </c>
      <c r="T21" s="1029">
        <f>T17</f>
        <v>2.7035406698564593E-2</v>
      </c>
      <c r="U21" s="1028">
        <f>J17</f>
        <v>0.11943368421052633</v>
      </c>
      <c r="V21" s="1028">
        <f>0.5*K17</f>
        <v>104</v>
      </c>
      <c r="W21" s="1028">
        <f>V21*0.2</f>
        <v>20.8</v>
      </c>
      <c r="X21" s="1028">
        <f>X17</f>
        <v>52</v>
      </c>
      <c r="Y21" s="1028">
        <f>V21/P21</f>
        <v>15.746269128138298</v>
      </c>
    </row>
    <row r="22" spans="1:25" ht="15.75" thickBot="1" x14ac:dyDescent="0.3">
      <c r="A22" s="644"/>
      <c r="B22" s="813"/>
      <c r="C22" s="644"/>
      <c r="D22" s="644"/>
      <c r="E22" s="644"/>
      <c r="F22" s="644"/>
      <c r="G22" s="644"/>
      <c r="H22" s="644"/>
      <c r="I22" s="644"/>
      <c r="J22" s="644"/>
      <c r="K22" s="644"/>
      <c r="L22" s="644"/>
      <c r="M22" s="644"/>
      <c r="N22" s="644"/>
      <c r="O22" s="647"/>
    </row>
    <row r="23" spans="1:25" ht="15.75" thickBot="1" x14ac:dyDescent="0.3">
      <c r="A23" s="680" t="s">
        <v>1094</v>
      </c>
      <c r="B23" s="664"/>
      <c r="C23" s="644"/>
      <c r="D23" s="644"/>
      <c r="E23" s="644"/>
      <c r="F23" s="644"/>
      <c r="G23" s="644"/>
      <c r="H23" s="644"/>
      <c r="I23" s="644"/>
      <c r="J23" s="644"/>
      <c r="K23" s="644"/>
      <c r="L23" s="644"/>
      <c r="M23" s="644"/>
      <c r="N23" s="644"/>
      <c r="O23" s="646"/>
    </row>
    <row r="24" spans="1:25" x14ac:dyDescent="0.25">
      <c r="A24" s="682"/>
      <c r="B24" s="816" t="s">
        <v>205</v>
      </c>
      <c r="C24" s="644"/>
      <c r="D24" s="644"/>
      <c r="E24" s="644"/>
      <c r="F24" s="644"/>
      <c r="G24" s="644"/>
      <c r="H24" s="644"/>
      <c r="I24" s="644"/>
      <c r="J24" s="644"/>
      <c r="K24" s="644"/>
      <c r="L24" s="644"/>
      <c r="M24" s="644"/>
      <c r="N24" s="644"/>
      <c r="O24" s="647"/>
    </row>
    <row r="25" spans="1:25" x14ac:dyDescent="0.25">
      <c r="A25" s="683" t="s">
        <v>403</v>
      </c>
      <c r="B25" s="817">
        <f>VLOOKUP($A$20,Param_volailles!$A$33:$H$35,2,FALSE)*100</f>
        <v>32</v>
      </c>
      <c r="C25" s="644"/>
      <c r="D25" s="644"/>
      <c r="E25" s="644"/>
      <c r="F25" s="644"/>
      <c r="G25" s="644"/>
      <c r="H25" s="644"/>
      <c r="I25" s="644"/>
      <c r="J25" s="644"/>
      <c r="K25" s="644"/>
      <c r="L25" s="644"/>
      <c r="M25" s="644"/>
      <c r="N25" s="644"/>
      <c r="O25" s="644"/>
    </row>
    <row r="26" spans="1:25" x14ac:dyDescent="0.25">
      <c r="A26" s="683" t="s">
        <v>407</v>
      </c>
      <c r="B26" s="817">
        <f>VLOOKUP($A$20,Param_volailles!$A$33:$H$35,3,FALSE)*100</f>
        <v>15</v>
      </c>
      <c r="C26" s="684"/>
      <c r="D26" s="644"/>
      <c r="E26" s="644"/>
      <c r="F26" s="644"/>
      <c r="G26" s="644"/>
      <c r="H26" s="644"/>
      <c r="I26" s="644"/>
      <c r="J26" s="644"/>
      <c r="K26" s="644"/>
      <c r="L26" s="644"/>
      <c r="M26" s="644"/>
      <c r="N26" s="644"/>
      <c r="O26" s="644"/>
    </row>
    <row r="27" spans="1:25" x14ac:dyDescent="0.25">
      <c r="A27" s="683" t="s">
        <v>875</v>
      </c>
      <c r="B27" s="817">
        <f>VLOOKUP($A$20,Param_volailles!$A$33:$H$35,4,FALSE)*100</f>
        <v>55.000000000000007</v>
      </c>
      <c r="C27" s="670"/>
      <c r="D27" s="644"/>
      <c r="E27" s="644"/>
      <c r="F27" s="644"/>
      <c r="G27" s="644"/>
      <c r="H27" s="644"/>
      <c r="I27" s="644"/>
      <c r="J27" s="644"/>
      <c r="K27" s="644"/>
      <c r="L27" s="644"/>
      <c r="M27" s="644"/>
      <c r="N27" s="644"/>
      <c r="O27" s="644"/>
    </row>
    <row r="28" spans="1:25" ht="15.75" thickBot="1" x14ac:dyDescent="0.3">
      <c r="A28" s="685" t="s">
        <v>1081</v>
      </c>
      <c r="B28" s="818"/>
      <c r="C28" s="670"/>
      <c r="D28" s="644"/>
      <c r="E28" s="644"/>
      <c r="F28" s="644"/>
      <c r="G28" s="644"/>
      <c r="H28" s="644"/>
      <c r="I28" s="644"/>
      <c r="J28" s="644"/>
      <c r="K28" s="644"/>
      <c r="L28" s="644"/>
      <c r="M28" s="644"/>
      <c r="N28" s="644"/>
      <c r="O28" s="644"/>
    </row>
    <row r="29" spans="1:25" x14ac:dyDescent="0.25">
      <c r="A29" s="644"/>
      <c r="B29" s="813"/>
      <c r="C29" s="670"/>
      <c r="D29" s="644"/>
      <c r="E29" s="644"/>
      <c r="F29" s="644"/>
      <c r="G29" s="644"/>
      <c r="H29" s="644"/>
      <c r="I29" s="644"/>
      <c r="J29" s="644"/>
      <c r="K29" s="644"/>
      <c r="L29" s="644"/>
      <c r="M29" s="644"/>
      <c r="N29" s="644"/>
      <c r="O29" s="644"/>
    </row>
    <row r="30" spans="1:25" s="903" customFormat="1" x14ac:dyDescent="0.25">
      <c r="B30" s="1024"/>
      <c r="P30" s="905"/>
      <c r="Q30" s="905"/>
      <c r="R30" s="905"/>
      <c r="S30" s="905"/>
      <c r="T30" s="905"/>
      <c r="U30" s="905"/>
      <c r="V30" s="905"/>
      <c r="W30" s="905"/>
      <c r="X30" s="905"/>
      <c r="Y30" s="905"/>
    </row>
    <row r="31" spans="1:25" s="903" customFormat="1" x14ac:dyDescent="0.25">
      <c r="B31" s="1024"/>
      <c r="P31" s="905"/>
      <c r="Q31" s="905"/>
      <c r="R31" s="905"/>
      <c r="S31" s="905"/>
      <c r="T31" s="905"/>
      <c r="U31" s="905"/>
      <c r="V31" s="905"/>
      <c r="W31" s="905"/>
      <c r="X31" s="905"/>
      <c r="Y31" s="905"/>
    </row>
    <row r="32" spans="1:25" s="903" customFormat="1" x14ac:dyDescent="0.25">
      <c r="B32" s="1024"/>
      <c r="P32" s="905"/>
      <c r="Q32" s="905"/>
      <c r="R32" s="905"/>
      <c r="S32" s="905"/>
      <c r="T32" s="905"/>
      <c r="U32" s="905"/>
      <c r="V32" s="905"/>
      <c r="W32" s="905"/>
      <c r="X32" s="905"/>
      <c r="Y32" s="905"/>
    </row>
    <row r="33" spans="2:25" s="903" customFormat="1" x14ac:dyDescent="0.25">
      <c r="B33" s="1024"/>
      <c r="P33" s="905"/>
      <c r="Q33" s="905"/>
      <c r="R33" s="905"/>
      <c r="S33" s="905"/>
      <c r="T33" s="905"/>
      <c r="U33" s="905"/>
      <c r="V33" s="905"/>
      <c r="W33" s="905"/>
      <c r="X33" s="905"/>
      <c r="Y33" s="905"/>
    </row>
    <row r="34" spans="2:25" s="903" customFormat="1" x14ac:dyDescent="0.25">
      <c r="B34" s="1024"/>
      <c r="P34" s="905"/>
      <c r="Q34" s="905"/>
      <c r="R34" s="905"/>
      <c r="S34" s="905"/>
      <c r="T34" s="905"/>
      <c r="U34" s="905"/>
      <c r="V34" s="905"/>
      <c r="W34" s="905"/>
      <c r="X34" s="905"/>
      <c r="Y34" s="905"/>
    </row>
    <row r="35" spans="2:25" s="903" customFormat="1" x14ac:dyDescent="0.25">
      <c r="B35" s="1024"/>
      <c r="P35" s="905"/>
      <c r="Q35" s="905"/>
      <c r="R35" s="905"/>
      <c r="S35" s="905"/>
      <c r="T35" s="905"/>
      <c r="U35" s="905"/>
      <c r="V35" s="905"/>
      <c r="W35" s="905"/>
      <c r="X35" s="905"/>
      <c r="Y35" s="905"/>
    </row>
    <row r="36" spans="2:25" s="903" customFormat="1" x14ac:dyDescent="0.25">
      <c r="B36" s="1024"/>
      <c r="P36" s="905"/>
      <c r="Q36" s="905"/>
      <c r="R36" s="905"/>
      <c r="S36" s="905"/>
      <c r="T36" s="905"/>
      <c r="U36" s="905"/>
      <c r="V36" s="905"/>
      <c r="W36" s="905"/>
      <c r="X36" s="905"/>
      <c r="Y36" s="905"/>
    </row>
    <row r="37" spans="2:25" s="903" customFormat="1" x14ac:dyDescent="0.25">
      <c r="B37" s="1024"/>
      <c r="P37" s="905"/>
      <c r="Q37" s="905"/>
      <c r="R37" s="905"/>
      <c r="S37" s="905"/>
      <c r="T37" s="905"/>
      <c r="U37" s="905"/>
      <c r="V37" s="905"/>
      <c r="W37" s="905"/>
      <c r="X37" s="905"/>
      <c r="Y37" s="905"/>
    </row>
    <row r="38" spans="2:25" s="903" customFormat="1" x14ac:dyDescent="0.25">
      <c r="B38" s="1024"/>
      <c r="P38" s="905"/>
      <c r="Q38" s="905"/>
      <c r="R38" s="905"/>
      <c r="S38" s="905"/>
      <c r="T38" s="905"/>
      <c r="U38" s="905"/>
      <c r="V38" s="905"/>
      <c r="W38" s="905"/>
      <c r="X38" s="905"/>
      <c r="Y38" s="905"/>
    </row>
    <row r="39" spans="2:25" s="903" customFormat="1" x14ac:dyDescent="0.25">
      <c r="B39" s="1024"/>
      <c r="P39" s="905"/>
      <c r="Q39" s="905"/>
      <c r="R39" s="905"/>
      <c r="S39" s="905"/>
      <c r="T39" s="905"/>
      <c r="U39" s="905"/>
      <c r="V39" s="905"/>
      <c r="W39" s="905"/>
      <c r="X39" s="905"/>
      <c r="Y39" s="905"/>
    </row>
    <row r="40" spans="2:25" s="903" customFormat="1" x14ac:dyDescent="0.25">
      <c r="B40" s="1024"/>
      <c r="P40" s="905"/>
      <c r="Q40" s="905"/>
      <c r="R40" s="905"/>
      <c r="S40" s="905"/>
      <c r="T40" s="905"/>
      <c r="U40" s="905"/>
      <c r="V40" s="905"/>
      <c r="W40" s="905"/>
      <c r="X40" s="905"/>
      <c r="Y40" s="905"/>
    </row>
    <row r="41" spans="2:25" s="903" customFormat="1" x14ac:dyDescent="0.25">
      <c r="B41" s="1024"/>
      <c r="P41" s="905"/>
      <c r="Q41" s="905"/>
      <c r="R41" s="905"/>
      <c r="S41" s="905"/>
      <c r="T41" s="905"/>
      <c r="U41" s="905"/>
      <c r="V41" s="905"/>
      <c r="W41" s="905"/>
      <c r="X41" s="905"/>
      <c r="Y41" s="905"/>
    </row>
    <row r="42" spans="2:25" s="903" customFormat="1" x14ac:dyDescent="0.25">
      <c r="B42" s="1024"/>
      <c r="P42" s="905"/>
      <c r="Q42" s="905"/>
      <c r="R42" s="905"/>
      <c r="S42" s="905"/>
      <c r="T42" s="905"/>
      <c r="U42" s="905"/>
      <c r="V42" s="905"/>
      <c r="W42" s="905"/>
      <c r="X42" s="905"/>
      <c r="Y42" s="905"/>
    </row>
    <row r="43" spans="2:25" s="903" customFormat="1" x14ac:dyDescent="0.25">
      <c r="B43" s="1024"/>
      <c r="P43" s="905"/>
      <c r="Q43" s="905"/>
      <c r="R43" s="905"/>
      <c r="S43" s="905"/>
      <c r="T43" s="905"/>
      <c r="U43" s="905"/>
      <c r="V43" s="905"/>
      <c r="W43" s="905"/>
      <c r="X43" s="905"/>
      <c r="Y43" s="905"/>
    </row>
    <row r="44" spans="2:25" s="903" customFormat="1" x14ac:dyDescent="0.25">
      <c r="B44" s="1024"/>
      <c r="P44" s="905"/>
      <c r="Q44" s="905"/>
      <c r="R44" s="905"/>
      <c r="S44" s="905"/>
      <c r="T44" s="905"/>
      <c r="U44" s="905"/>
      <c r="V44" s="905"/>
      <c r="W44" s="905"/>
      <c r="X44" s="905"/>
      <c r="Y44" s="905"/>
    </row>
    <row r="45" spans="2:25" s="903" customFormat="1" x14ac:dyDescent="0.25">
      <c r="B45" s="1024"/>
      <c r="P45" s="905"/>
      <c r="Q45" s="905"/>
      <c r="R45" s="905"/>
      <c r="S45" s="905"/>
      <c r="T45" s="905"/>
      <c r="U45" s="905"/>
      <c r="V45" s="905"/>
      <c r="W45" s="905"/>
      <c r="X45" s="905"/>
      <c r="Y45" s="905"/>
    </row>
    <row r="46" spans="2:25" s="903" customFormat="1" x14ac:dyDescent="0.25">
      <c r="B46" s="1024"/>
      <c r="P46" s="905"/>
      <c r="Q46" s="905"/>
      <c r="R46" s="905"/>
      <c r="S46" s="905"/>
      <c r="T46" s="905"/>
      <c r="U46" s="905"/>
      <c r="V46" s="905"/>
      <c r="W46" s="905"/>
      <c r="X46" s="905"/>
      <c r="Y46" s="905"/>
    </row>
    <row r="47" spans="2:25" s="903" customFormat="1" x14ac:dyDescent="0.25">
      <c r="B47" s="1024"/>
      <c r="P47" s="905"/>
      <c r="Q47" s="905"/>
      <c r="R47" s="905"/>
      <c r="S47" s="905"/>
      <c r="T47" s="905"/>
      <c r="U47" s="905"/>
      <c r="V47" s="905"/>
      <c r="W47" s="905"/>
      <c r="X47" s="905"/>
      <c r="Y47" s="905"/>
    </row>
    <row r="48" spans="2:25" s="903" customFormat="1" x14ac:dyDescent="0.25">
      <c r="B48" s="1024"/>
      <c r="P48" s="905"/>
      <c r="Q48" s="905"/>
      <c r="R48" s="905"/>
      <c r="S48" s="905"/>
      <c r="T48" s="905"/>
      <c r="U48" s="905"/>
      <c r="V48" s="905"/>
      <c r="W48" s="905"/>
      <c r="X48" s="905"/>
      <c r="Y48" s="905"/>
    </row>
    <row r="49" spans="2:25" s="903" customFormat="1" x14ac:dyDescent="0.25">
      <c r="B49" s="1024"/>
      <c r="P49" s="905"/>
      <c r="Q49" s="905"/>
      <c r="R49" s="905"/>
      <c r="S49" s="905"/>
      <c r="T49" s="905"/>
      <c r="U49" s="905"/>
      <c r="V49" s="905"/>
      <c r="W49" s="905"/>
      <c r="X49" s="905"/>
      <c r="Y49" s="905"/>
    </row>
    <row r="50" spans="2:25" s="903" customFormat="1" x14ac:dyDescent="0.25">
      <c r="B50" s="1024"/>
      <c r="P50" s="905"/>
      <c r="Q50" s="905"/>
      <c r="R50" s="905"/>
      <c r="S50" s="905"/>
      <c r="T50" s="905"/>
      <c r="U50" s="905"/>
      <c r="V50" s="905"/>
      <c r="W50" s="905"/>
      <c r="X50" s="905"/>
      <c r="Y50" s="905"/>
    </row>
    <row r="51" spans="2:25" s="903" customFormat="1" x14ac:dyDescent="0.25">
      <c r="B51" s="1024"/>
      <c r="P51" s="905"/>
      <c r="Q51" s="905"/>
      <c r="R51" s="905"/>
      <c r="S51" s="905"/>
      <c r="T51" s="905"/>
      <c r="U51" s="905"/>
      <c r="V51" s="905"/>
      <c r="W51" s="905"/>
      <c r="X51" s="905"/>
      <c r="Y51" s="905"/>
    </row>
    <row r="52" spans="2:25" s="903" customFormat="1" x14ac:dyDescent="0.25">
      <c r="B52" s="1024"/>
      <c r="P52" s="905"/>
      <c r="Q52" s="905"/>
      <c r="R52" s="905"/>
      <c r="S52" s="905"/>
      <c r="T52" s="905"/>
      <c r="U52" s="905"/>
      <c r="V52" s="905"/>
      <c r="W52" s="905"/>
      <c r="X52" s="905"/>
      <c r="Y52" s="905"/>
    </row>
    <row r="53" spans="2:25" s="903" customFormat="1" x14ac:dyDescent="0.25">
      <c r="B53" s="1024"/>
      <c r="P53" s="905"/>
      <c r="Q53" s="905"/>
      <c r="R53" s="905"/>
      <c r="S53" s="905"/>
      <c r="T53" s="905"/>
      <c r="U53" s="905"/>
      <c r="V53" s="905"/>
      <c r="W53" s="905"/>
      <c r="X53" s="905"/>
      <c r="Y53" s="905"/>
    </row>
    <row r="54" spans="2:25" s="903" customFormat="1" x14ac:dyDescent="0.25">
      <c r="B54" s="1024"/>
      <c r="P54" s="905"/>
      <c r="Q54" s="905"/>
      <c r="R54" s="905"/>
      <c r="S54" s="905"/>
      <c r="T54" s="905"/>
      <c r="U54" s="905"/>
      <c r="V54" s="905"/>
      <c r="W54" s="905"/>
      <c r="X54" s="905"/>
      <c r="Y54" s="905"/>
    </row>
    <row r="55" spans="2:25" s="903" customFormat="1" x14ac:dyDescent="0.25">
      <c r="B55" s="1024"/>
      <c r="P55" s="905"/>
      <c r="Q55" s="905"/>
      <c r="R55" s="905"/>
      <c r="S55" s="905"/>
      <c r="T55" s="905"/>
      <c r="U55" s="905"/>
      <c r="V55" s="905"/>
      <c r="W55" s="905"/>
      <c r="X55" s="905"/>
      <c r="Y55" s="905"/>
    </row>
    <row r="56" spans="2:25" s="903" customFormat="1" x14ac:dyDescent="0.25">
      <c r="B56" s="1024"/>
      <c r="P56" s="905"/>
      <c r="Q56" s="905"/>
      <c r="R56" s="905"/>
      <c r="S56" s="905"/>
      <c r="T56" s="905"/>
      <c r="U56" s="905"/>
      <c r="V56" s="905"/>
      <c r="W56" s="905"/>
      <c r="X56" s="905"/>
      <c r="Y56" s="905"/>
    </row>
    <row r="57" spans="2:25" s="903" customFormat="1" x14ac:dyDescent="0.25">
      <c r="B57" s="1024"/>
      <c r="P57" s="905"/>
      <c r="Q57" s="905"/>
      <c r="R57" s="905"/>
      <c r="S57" s="905"/>
      <c r="T57" s="905"/>
      <c r="U57" s="905"/>
      <c r="V57" s="905"/>
      <c r="W57" s="905"/>
      <c r="X57" s="905"/>
      <c r="Y57" s="905"/>
    </row>
    <row r="58" spans="2:25" s="903" customFormat="1" x14ac:dyDescent="0.25">
      <c r="B58" s="1024"/>
      <c r="P58" s="905"/>
      <c r="Q58" s="905"/>
      <c r="R58" s="905"/>
      <c r="S58" s="905"/>
      <c r="T58" s="905"/>
      <c r="U58" s="905"/>
      <c r="V58" s="905"/>
      <c r="W58" s="905"/>
      <c r="X58" s="905"/>
      <c r="Y58" s="905"/>
    </row>
    <row r="59" spans="2:25" s="903" customFormat="1" x14ac:dyDescent="0.25">
      <c r="B59" s="1024"/>
      <c r="P59" s="905"/>
      <c r="Q59" s="905"/>
      <c r="R59" s="905"/>
      <c r="S59" s="905"/>
      <c r="T59" s="905"/>
      <c r="U59" s="905"/>
      <c r="V59" s="905"/>
      <c r="W59" s="905"/>
      <c r="X59" s="905"/>
      <c r="Y59" s="905"/>
    </row>
    <row r="60" spans="2:25" s="903" customFormat="1" x14ac:dyDescent="0.25">
      <c r="B60" s="1024"/>
      <c r="P60" s="905"/>
      <c r="Q60" s="905"/>
      <c r="R60" s="905"/>
      <c r="S60" s="905"/>
      <c r="T60" s="905"/>
      <c r="U60" s="905"/>
      <c r="V60" s="905"/>
      <c r="W60" s="905"/>
      <c r="X60" s="905"/>
      <c r="Y60" s="905"/>
    </row>
    <row r="61" spans="2:25" s="903" customFormat="1" x14ac:dyDescent="0.25">
      <c r="B61" s="1024"/>
      <c r="P61" s="905"/>
      <c r="Q61" s="905"/>
      <c r="R61" s="905"/>
      <c r="S61" s="905"/>
      <c r="T61" s="905"/>
      <c r="U61" s="905"/>
      <c r="V61" s="905"/>
      <c r="W61" s="905"/>
      <c r="X61" s="905"/>
      <c r="Y61" s="905"/>
    </row>
    <row r="62" spans="2:25" s="903" customFormat="1" x14ac:dyDescent="0.25">
      <c r="B62" s="1024"/>
      <c r="P62" s="905"/>
      <c r="Q62" s="905"/>
      <c r="R62" s="905"/>
      <c r="S62" s="905"/>
      <c r="T62" s="905"/>
      <c r="U62" s="905"/>
      <c r="V62" s="905"/>
      <c r="W62" s="905"/>
      <c r="X62" s="905"/>
      <c r="Y62" s="905"/>
    </row>
    <row r="63" spans="2:25" s="903" customFormat="1" x14ac:dyDescent="0.25">
      <c r="B63" s="1024"/>
      <c r="P63" s="905"/>
      <c r="Q63" s="905"/>
      <c r="R63" s="905"/>
      <c r="S63" s="905"/>
      <c r="T63" s="905"/>
      <c r="U63" s="905"/>
      <c r="V63" s="905"/>
      <c r="W63" s="905"/>
      <c r="X63" s="905"/>
      <c r="Y63" s="905"/>
    </row>
    <row r="64" spans="2:25" s="903" customFormat="1" x14ac:dyDescent="0.25">
      <c r="B64" s="1024"/>
      <c r="P64" s="905"/>
      <c r="Q64" s="905"/>
      <c r="R64" s="905"/>
      <c r="S64" s="905"/>
      <c r="T64" s="905"/>
      <c r="U64" s="905"/>
      <c r="V64" s="905"/>
      <c r="W64" s="905"/>
      <c r="X64" s="905"/>
      <c r="Y64" s="905"/>
    </row>
    <row r="65" spans="2:25" s="903" customFormat="1" x14ac:dyDescent="0.25">
      <c r="B65" s="1024"/>
      <c r="P65" s="905"/>
      <c r="Q65" s="905"/>
      <c r="R65" s="905"/>
      <c r="S65" s="905"/>
      <c r="T65" s="905"/>
      <c r="U65" s="905"/>
      <c r="V65" s="905"/>
      <c r="W65" s="905"/>
      <c r="X65" s="905"/>
      <c r="Y65" s="905"/>
    </row>
    <row r="66" spans="2:25" s="903" customFormat="1" x14ac:dyDescent="0.25">
      <c r="B66" s="1024"/>
      <c r="P66" s="905"/>
      <c r="Q66" s="905"/>
      <c r="R66" s="905"/>
      <c r="S66" s="905"/>
      <c r="T66" s="905"/>
      <c r="U66" s="905"/>
      <c r="V66" s="905"/>
      <c r="W66" s="905"/>
      <c r="X66" s="905"/>
      <c r="Y66" s="905"/>
    </row>
    <row r="67" spans="2:25" s="903" customFormat="1" x14ac:dyDescent="0.25">
      <c r="B67" s="1024"/>
      <c r="P67" s="905"/>
      <c r="Q67" s="905"/>
      <c r="R67" s="905"/>
      <c r="S67" s="905"/>
      <c r="T67" s="905"/>
      <c r="U67" s="905"/>
      <c r="V67" s="905"/>
      <c r="W67" s="905"/>
      <c r="X67" s="905"/>
      <c r="Y67" s="905"/>
    </row>
    <row r="68" spans="2:25" s="903" customFormat="1" x14ac:dyDescent="0.25">
      <c r="B68" s="1024"/>
      <c r="P68" s="905"/>
      <c r="Q68" s="905"/>
      <c r="R68" s="905"/>
      <c r="S68" s="905"/>
      <c r="T68" s="905"/>
      <c r="U68" s="905"/>
      <c r="V68" s="905"/>
      <c r="W68" s="905"/>
      <c r="X68" s="905"/>
      <c r="Y68" s="905"/>
    </row>
    <row r="69" spans="2:25" s="903" customFormat="1" x14ac:dyDescent="0.25">
      <c r="B69" s="1024"/>
      <c r="P69" s="905"/>
      <c r="Q69" s="905"/>
      <c r="R69" s="905"/>
      <c r="S69" s="905"/>
      <c r="T69" s="905"/>
      <c r="U69" s="905"/>
      <c r="V69" s="905"/>
      <c r="W69" s="905"/>
      <c r="X69" s="905"/>
      <c r="Y69" s="905"/>
    </row>
    <row r="70" spans="2:25" s="903" customFormat="1" x14ac:dyDescent="0.25">
      <c r="B70" s="1024"/>
      <c r="P70" s="905"/>
      <c r="Q70" s="905"/>
      <c r="R70" s="905"/>
      <c r="S70" s="905"/>
      <c r="T70" s="905"/>
      <c r="U70" s="905"/>
      <c r="V70" s="905"/>
      <c r="W70" s="905"/>
      <c r="X70" s="905"/>
      <c r="Y70" s="905"/>
    </row>
    <row r="71" spans="2:25" s="903" customFormat="1" x14ac:dyDescent="0.25">
      <c r="B71" s="1024"/>
      <c r="P71" s="905"/>
      <c r="Q71" s="905"/>
      <c r="R71" s="905"/>
      <c r="S71" s="905"/>
      <c r="T71" s="905"/>
      <c r="U71" s="905"/>
      <c r="V71" s="905"/>
      <c r="W71" s="905"/>
      <c r="X71" s="905"/>
      <c r="Y71" s="905"/>
    </row>
    <row r="72" spans="2:25" s="903" customFormat="1" x14ac:dyDescent="0.25">
      <c r="B72" s="1024"/>
      <c r="P72" s="905"/>
      <c r="Q72" s="905"/>
      <c r="R72" s="905"/>
      <c r="S72" s="905"/>
      <c r="T72" s="905"/>
      <c r="U72" s="905"/>
      <c r="V72" s="905"/>
      <c r="W72" s="905"/>
      <c r="X72" s="905"/>
      <c r="Y72" s="905"/>
    </row>
    <row r="73" spans="2:25" s="903" customFormat="1" x14ac:dyDescent="0.25">
      <c r="B73" s="1024"/>
      <c r="P73" s="905"/>
      <c r="Q73" s="905"/>
      <c r="R73" s="905"/>
      <c r="S73" s="905"/>
      <c r="T73" s="905"/>
      <c r="U73" s="905"/>
      <c r="V73" s="905"/>
      <c r="W73" s="905"/>
      <c r="X73" s="905"/>
      <c r="Y73" s="905"/>
    </row>
    <row r="74" spans="2:25" s="903" customFormat="1" x14ac:dyDescent="0.25">
      <c r="B74" s="1024"/>
      <c r="P74" s="905"/>
      <c r="Q74" s="905"/>
      <c r="R74" s="905"/>
      <c r="S74" s="905"/>
      <c r="T74" s="905"/>
      <c r="U74" s="905"/>
      <c r="V74" s="905"/>
      <c r="W74" s="905"/>
      <c r="X74" s="905"/>
      <c r="Y74" s="905"/>
    </row>
    <row r="75" spans="2:25" s="903" customFormat="1" x14ac:dyDescent="0.25">
      <c r="B75" s="1024"/>
      <c r="P75" s="905"/>
      <c r="Q75" s="905"/>
      <c r="R75" s="905"/>
      <c r="S75" s="905"/>
      <c r="T75" s="905"/>
      <c r="U75" s="905"/>
      <c r="V75" s="905"/>
      <c r="W75" s="905"/>
      <c r="X75" s="905"/>
      <c r="Y75" s="905"/>
    </row>
    <row r="76" spans="2:25" s="903" customFormat="1" x14ac:dyDescent="0.25">
      <c r="B76" s="1024"/>
      <c r="P76" s="905"/>
      <c r="Q76" s="905"/>
      <c r="R76" s="905"/>
      <c r="S76" s="905"/>
      <c r="T76" s="905"/>
      <c r="U76" s="905"/>
      <c r="V76" s="905"/>
      <c r="W76" s="905"/>
      <c r="X76" s="905"/>
      <c r="Y76" s="905"/>
    </row>
    <row r="77" spans="2:25" s="903" customFormat="1" x14ac:dyDescent="0.25">
      <c r="B77" s="1024"/>
      <c r="P77" s="905"/>
      <c r="Q77" s="905"/>
      <c r="R77" s="905"/>
      <c r="S77" s="905"/>
      <c r="T77" s="905"/>
      <c r="U77" s="905"/>
      <c r="V77" s="905"/>
      <c r="W77" s="905"/>
      <c r="X77" s="905"/>
      <c r="Y77" s="905"/>
    </row>
    <row r="78" spans="2:25" s="903" customFormat="1" x14ac:dyDescent="0.25">
      <c r="B78" s="1024"/>
      <c r="P78" s="905"/>
      <c r="Q78" s="905"/>
      <c r="R78" s="905"/>
      <c r="S78" s="905"/>
      <c r="T78" s="905"/>
      <c r="U78" s="905"/>
      <c r="V78" s="905"/>
      <c r="W78" s="905"/>
      <c r="X78" s="905"/>
      <c r="Y78" s="905"/>
    </row>
    <row r="79" spans="2:25" s="903" customFormat="1" x14ac:dyDescent="0.25">
      <c r="B79" s="1024"/>
      <c r="P79" s="905"/>
      <c r="Q79" s="905"/>
      <c r="R79" s="905"/>
      <c r="S79" s="905"/>
      <c r="T79" s="905"/>
      <c r="U79" s="905"/>
      <c r="V79" s="905"/>
      <c r="W79" s="905"/>
      <c r="X79" s="905"/>
      <c r="Y79" s="905"/>
    </row>
    <row r="80" spans="2:25" s="903" customFormat="1" x14ac:dyDescent="0.25">
      <c r="B80" s="1024"/>
      <c r="P80" s="905"/>
      <c r="Q80" s="905"/>
      <c r="R80" s="905"/>
      <c r="S80" s="905"/>
      <c r="T80" s="905"/>
      <c r="U80" s="905"/>
      <c r="V80" s="905"/>
      <c r="W80" s="905"/>
      <c r="X80" s="905"/>
      <c r="Y80" s="905"/>
    </row>
    <row r="81" spans="2:25" s="903" customFormat="1" x14ac:dyDescent="0.25">
      <c r="B81" s="1024"/>
      <c r="P81" s="905"/>
      <c r="Q81" s="905"/>
      <c r="R81" s="905"/>
      <c r="S81" s="905"/>
      <c r="T81" s="905"/>
      <c r="U81" s="905"/>
      <c r="V81" s="905"/>
      <c r="W81" s="905"/>
      <c r="X81" s="905"/>
      <c r="Y81" s="905"/>
    </row>
    <row r="82" spans="2:25" s="903" customFormat="1" x14ac:dyDescent="0.25">
      <c r="B82" s="1024"/>
      <c r="P82" s="905"/>
      <c r="Q82" s="905"/>
      <c r="R82" s="905"/>
      <c r="S82" s="905"/>
      <c r="T82" s="905"/>
      <c r="U82" s="905"/>
      <c r="V82" s="905"/>
      <c r="W82" s="905"/>
      <c r="X82" s="905"/>
      <c r="Y82" s="905"/>
    </row>
    <row r="83" spans="2:25" s="903" customFormat="1" x14ac:dyDescent="0.25">
      <c r="B83" s="1024"/>
      <c r="P83" s="905"/>
      <c r="Q83" s="905"/>
      <c r="R83" s="905"/>
      <c r="S83" s="905"/>
      <c r="T83" s="905"/>
      <c r="U83" s="905"/>
      <c r="V83" s="905"/>
      <c r="W83" s="905"/>
      <c r="X83" s="905"/>
      <c r="Y83" s="905"/>
    </row>
    <row r="84" spans="2:25" s="903" customFormat="1" x14ac:dyDescent="0.25">
      <c r="B84" s="1024"/>
      <c r="P84" s="905"/>
      <c r="Q84" s="905"/>
      <c r="R84" s="905"/>
      <c r="S84" s="905"/>
      <c r="T84" s="905"/>
      <c r="U84" s="905"/>
      <c r="V84" s="905"/>
      <c r="W84" s="905"/>
      <c r="X84" s="905"/>
      <c r="Y84" s="905"/>
    </row>
    <row r="85" spans="2:25" s="903" customFormat="1" x14ac:dyDescent="0.25">
      <c r="B85" s="1024"/>
      <c r="P85" s="905"/>
      <c r="Q85" s="905"/>
      <c r="R85" s="905"/>
      <c r="S85" s="905"/>
      <c r="T85" s="905"/>
      <c r="U85" s="905"/>
      <c r="V85" s="905"/>
      <c r="W85" s="905"/>
      <c r="X85" s="905"/>
      <c r="Y85" s="905"/>
    </row>
    <row r="86" spans="2:25" s="903" customFormat="1" x14ac:dyDescent="0.25">
      <c r="B86" s="1024"/>
      <c r="P86" s="905"/>
      <c r="Q86" s="905"/>
      <c r="R86" s="905"/>
      <c r="S86" s="905"/>
      <c r="T86" s="905"/>
      <c r="U86" s="905"/>
      <c r="V86" s="905"/>
      <c r="W86" s="905"/>
      <c r="X86" s="905"/>
      <c r="Y86" s="905"/>
    </row>
    <row r="87" spans="2:25" s="903" customFormat="1" x14ac:dyDescent="0.25">
      <c r="B87" s="1024"/>
      <c r="P87" s="905"/>
      <c r="Q87" s="905"/>
      <c r="R87" s="905"/>
      <c r="S87" s="905"/>
      <c r="T87" s="905"/>
      <c r="U87" s="905"/>
      <c r="V87" s="905"/>
      <c r="W87" s="905"/>
      <c r="X87" s="905"/>
      <c r="Y87" s="905"/>
    </row>
    <row r="88" spans="2:25" s="903" customFormat="1" x14ac:dyDescent="0.25">
      <c r="B88" s="1024"/>
      <c r="P88" s="905"/>
      <c r="Q88" s="905"/>
      <c r="R88" s="905"/>
      <c r="S88" s="905"/>
      <c r="T88" s="905"/>
      <c r="U88" s="905"/>
      <c r="V88" s="905"/>
      <c r="W88" s="905"/>
      <c r="X88" s="905"/>
      <c r="Y88" s="905"/>
    </row>
    <row r="89" spans="2:25" s="903" customFormat="1" x14ac:dyDescent="0.25">
      <c r="B89" s="1024"/>
      <c r="P89" s="905"/>
      <c r="Q89" s="905"/>
      <c r="R89" s="905"/>
      <c r="S89" s="905"/>
      <c r="T89" s="905"/>
      <c r="U89" s="905"/>
      <c r="V89" s="905"/>
      <c r="W89" s="905"/>
      <c r="X89" s="905"/>
      <c r="Y89" s="905"/>
    </row>
    <row r="90" spans="2:25" s="903" customFormat="1" x14ac:dyDescent="0.25">
      <c r="B90" s="1024"/>
      <c r="P90" s="905"/>
      <c r="Q90" s="905"/>
      <c r="R90" s="905"/>
      <c r="S90" s="905"/>
      <c r="T90" s="905"/>
      <c r="U90" s="905"/>
      <c r="V90" s="905"/>
      <c r="W90" s="905"/>
      <c r="X90" s="905"/>
      <c r="Y90" s="905"/>
    </row>
    <row r="91" spans="2:25" s="903" customFormat="1" x14ac:dyDescent="0.25">
      <c r="B91" s="1024"/>
      <c r="P91" s="905"/>
      <c r="Q91" s="905"/>
      <c r="R91" s="905"/>
      <c r="S91" s="905"/>
      <c r="T91" s="905"/>
      <c r="U91" s="905"/>
      <c r="V91" s="905"/>
      <c r="W91" s="905"/>
      <c r="X91" s="905"/>
      <c r="Y91" s="905"/>
    </row>
    <row r="92" spans="2:25" s="903" customFormat="1" x14ac:dyDescent="0.25">
      <c r="B92" s="1024"/>
      <c r="P92" s="905"/>
      <c r="Q92" s="905"/>
      <c r="R92" s="905"/>
      <c r="S92" s="905"/>
      <c r="T92" s="905"/>
      <c r="U92" s="905"/>
      <c r="V92" s="905"/>
      <c r="W92" s="905"/>
      <c r="X92" s="905"/>
      <c r="Y92" s="905"/>
    </row>
    <row r="93" spans="2:25" s="903" customFormat="1" x14ac:dyDescent="0.25">
      <c r="B93" s="1024"/>
      <c r="P93" s="905"/>
      <c r="Q93" s="905"/>
      <c r="R93" s="905"/>
      <c r="S93" s="905"/>
      <c r="T93" s="905"/>
      <c r="U93" s="905"/>
      <c r="V93" s="905"/>
      <c r="W93" s="905"/>
      <c r="X93" s="905"/>
      <c r="Y93" s="905"/>
    </row>
    <row r="94" spans="2:25" s="903" customFormat="1" x14ac:dyDescent="0.25">
      <c r="B94" s="1024"/>
      <c r="P94" s="905"/>
      <c r="Q94" s="905"/>
      <c r="R94" s="905"/>
      <c r="S94" s="905"/>
      <c r="T94" s="905"/>
      <c r="U94" s="905"/>
      <c r="V94" s="905"/>
      <c r="W94" s="905"/>
      <c r="X94" s="905"/>
      <c r="Y94" s="905"/>
    </row>
    <row r="95" spans="2:25" s="903" customFormat="1" x14ac:dyDescent="0.25">
      <c r="B95" s="1024"/>
      <c r="P95" s="905"/>
      <c r="Q95" s="905"/>
      <c r="R95" s="905"/>
      <c r="S95" s="905"/>
      <c r="T95" s="905"/>
      <c r="U95" s="905"/>
      <c r="V95" s="905"/>
      <c r="W95" s="905"/>
      <c r="X95" s="905"/>
      <c r="Y95" s="905"/>
    </row>
    <row r="96" spans="2:25" s="903" customFormat="1" x14ac:dyDescent="0.25">
      <c r="B96" s="1024"/>
      <c r="P96" s="905"/>
      <c r="Q96" s="905"/>
      <c r="R96" s="905"/>
      <c r="S96" s="905"/>
      <c r="T96" s="905"/>
      <c r="U96" s="905"/>
      <c r="V96" s="905"/>
      <c r="W96" s="905"/>
      <c r="X96" s="905"/>
      <c r="Y96" s="905"/>
    </row>
    <row r="97" spans="2:25" s="903" customFormat="1" x14ac:dyDescent="0.25">
      <c r="B97" s="1024"/>
      <c r="P97" s="905"/>
      <c r="Q97" s="905"/>
      <c r="R97" s="905"/>
      <c r="S97" s="905"/>
      <c r="T97" s="905"/>
      <c r="U97" s="905"/>
      <c r="V97" s="905"/>
      <c r="W97" s="905"/>
      <c r="X97" s="905"/>
      <c r="Y97" s="905"/>
    </row>
    <row r="98" spans="2:25" s="903" customFormat="1" x14ac:dyDescent="0.25">
      <c r="B98" s="1024"/>
      <c r="P98" s="905"/>
      <c r="Q98" s="905"/>
      <c r="R98" s="905"/>
      <c r="S98" s="905"/>
      <c r="T98" s="905"/>
      <c r="U98" s="905"/>
      <c r="V98" s="905"/>
      <c r="W98" s="905"/>
      <c r="X98" s="905"/>
      <c r="Y98" s="905"/>
    </row>
    <row r="99" spans="2:25" s="903" customFormat="1" x14ac:dyDescent="0.25">
      <c r="B99" s="1024"/>
      <c r="P99" s="905"/>
      <c r="Q99" s="905"/>
      <c r="R99" s="905"/>
      <c r="S99" s="905"/>
      <c r="T99" s="905"/>
      <c r="U99" s="905"/>
      <c r="V99" s="905"/>
      <c r="W99" s="905"/>
      <c r="X99" s="905"/>
      <c r="Y99" s="905"/>
    </row>
    <row r="100" spans="2:25" s="903" customFormat="1" x14ac:dyDescent="0.25">
      <c r="B100" s="1024"/>
      <c r="P100" s="905"/>
      <c r="Q100" s="905"/>
      <c r="R100" s="905"/>
      <c r="S100" s="905"/>
      <c r="T100" s="905"/>
      <c r="U100" s="905"/>
      <c r="V100" s="905"/>
      <c r="W100" s="905"/>
      <c r="X100" s="905"/>
      <c r="Y100" s="905"/>
    </row>
    <row r="101" spans="2:25" s="903" customFormat="1" x14ac:dyDescent="0.25">
      <c r="B101" s="1024"/>
      <c r="P101" s="905"/>
      <c r="Q101" s="905"/>
      <c r="R101" s="905"/>
      <c r="S101" s="905"/>
      <c r="T101" s="905"/>
      <c r="U101" s="905"/>
      <c r="V101" s="905"/>
      <c r="W101" s="905"/>
      <c r="X101" s="905"/>
      <c r="Y101" s="905"/>
    </row>
    <row r="102" spans="2:25" s="903" customFormat="1" x14ac:dyDescent="0.25">
      <c r="B102" s="1024"/>
      <c r="P102" s="905"/>
      <c r="Q102" s="905"/>
      <c r="R102" s="905"/>
      <c r="S102" s="905"/>
      <c r="T102" s="905"/>
      <c r="U102" s="905"/>
      <c r="V102" s="905"/>
      <c r="W102" s="905"/>
      <c r="X102" s="905"/>
      <c r="Y102" s="905"/>
    </row>
    <row r="103" spans="2:25" s="903" customFormat="1" x14ac:dyDescent="0.25">
      <c r="B103" s="1024"/>
      <c r="P103" s="905"/>
      <c r="Q103" s="905"/>
      <c r="R103" s="905"/>
      <c r="S103" s="905"/>
      <c r="T103" s="905"/>
      <c r="U103" s="905"/>
      <c r="V103" s="905"/>
      <c r="W103" s="905"/>
      <c r="X103" s="905"/>
      <c r="Y103" s="905"/>
    </row>
    <row r="104" spans="2:25" s="903" customFormat="1" x14ac:dyDescent="0.25">
      <c r="B104" s="1024"/>
      <c r="P104" s="905"/>
      <c r="Q104" s="905"/>
      <c r="R104" s="905"/>
      <c r="S104" s="905"/>
      <c r="T104" s="905"/>
      <c r="U104" s="905"/>
      <c r="V104" s="905"/>
      <c r="W104" s="905"/>
      <c r="X104" s="905"/>
      <c r="Y104" s="905"/>
    </row>
    <row r="105" spans="2:25" s="903" customFormat="1" x14ac:dyDescent="0.25">
      <c r="B105" s="1024"/>
      <c r="P105" s="905"/>
      <c r="Q105" s="905"/>
      <c r="R105" s="905"/>
      <c r="S105" s="905"/>
      <c r="T105" s="905"/>
      <c r="U105" s="905"/>
      <c r="V105" s="905"/>
      <c r="W105" s="905"/>
      <c r="X105" s="905"/>
      <c r="Y105" s="905"/>
    </row>
    <row r="106" spans="2:25" s="903" customFormat="1" x14ac:dyDescent="0.25">
      <c r="B106" s="1024"/>
      <c r="P106" s="905"/>
      <c r="Q106" s="905"/>
      <c r="R106" s="905"/>
      <c r="S106" s="905"/>
      <c r="T106" s="905"/>
      <c r="U106" s="905"/>
      <c r="V106" s="905"/>
      <c r="W106" s="905"/>
      <c r="X106" s="905"/>
      <c r="Y106" s="905"/>
    </row>
    <row r="107" spans="2:25" s="903" customFormat="1" x14ac:dyDescent="0.25">
      <c r="B107" s="1024"/>
      <c r="P107" s="905"/>
      <c r="Q107" s="905"/>
      <c r="R107" s="905"/>
      <c r="S107" s="905"/>
      <c r="T107" s="905"/>
      <c r="U107" s="905"/>
      <c r="V107" s="905"/>
      <c r="W107" s="905"/>
      <c r="X107" s="905"/>
      <c r="Y107" s="905"/>
    </row>
    <row r="108" spans="2:25" s="903" customFormat="1" x14ac:dyDescent="0.25">
      <c r="B108" s="1024"/>
      <c r="P108" s="905"/>
      <c r="Q108" s="905"/>
      <c r="R108" s="905"/>
      <c r="S108" s="905"/>
      <c r="T108" s="905"/>
      <c r="U108" s="905"/>
      <c r="V108" s="905"/>
      <c r="W108" s="905"/>
      <c r="X108" s="905"/>
      <c r="Y108" s="905"/>
    </row>
    <row r="109" spans="2:25" s="903" customFormat="1" x14ac:dyDescent="0.25">
      <c r="B109" s="1024"/>
      <c r="P109" s="905"/>
      <c r="Q109" s="905"/>
      <c r="R109" s="905"/>
      <c r="S109" s="905"/>
      <c r="T109" s="905"/>
      <c r="U109" s="905"/>
      <c r="V109" s="905"/>
      <c r="W109" s="905"/>
      <c r="X109" s="905"/>
      <c r="Y109" s="905"/>
    </row>
    <row r="110" spans="2:25" s="903" customFormat="1" x14ac:dyDescent="0.25">
      <c r="B110" s="1024"/>
      <c r="P110" s="905"/>
      <c r="Q110" s="905"/>
      <c r="R110" s="905"/>
      <c r="S110" s="905"/>
      <c r="T110" s="905"/>
      <c r="U110" s="905"/>
      <c r="V110" s="905"/>
      <c r="W110" s="905"/>
      <c r="X110" s="905"/>
      <c r="Y110" s="905"/>
    </row>
    <row r="111" spans="2:25" s="903" customFormat="1" x14ac:dyDescent="0.25">
      <c r="B111" s="1024"/>
      <c r="P111" s="905"/>
      <c r="Q111" s="905"/>
      <c r="R111" s="905"/>
      <c r="S111" s="905"/>
      <c r="T111" s="905"/>
      <c r="U111" s="905"/>
      <c r="V111" s="905"/>
      <c r="W111" s="905"/>
      <c r="X111" s="905"/>
      <c r="Y111" s="905"/>
    </row>
    <row r="112" spans="2:25" s="903" customFormat="1" x14ac:dyDescent="0.25">
      <c r="B112" s="1024"/>
      <c r="P112" s="905"/>
      <c r="Q112" s="905"/>
      <c r="R112" s="905"/>
      <c r="S112" s="905"/>
      <c r="T112" s="905"/>
      <c r="U112" s="905"/>
      <c r="V112" s="905"/>
      <c r="W112" s="905"/>
      <c r="X112" s="905"/>
      <c r="Y112" s="905"/>
    </row>
    <row r="113" spans="2:25" s="903" customFormat="1" x14ac:dyDescent="0.25">
      <c r="B113" s="1024"/>
      <c r="P113" s="905"/>
      <c r="Q113" s="905"/>
      <c r="R113" s="905"/>
      <c r="S113" s="905"/>
      <c r="T113" s="905"/>
      <c r="U113" s="905"/>
      <c r="V113" s="905"/>
      <c r="W113" s="905"/>
      <c r="X113" s="905"/>
      <c r="Y113" s="905"/>
    </row>
    <row r="114" spans="2:25" s="903" customFormat="1" x14ac:dyDescent="0.25">
      <c r="B114" s="1024"/>
      <c r="P114" s="905"/>
      <c r="Q114" s="905"/>
      <c r="R114" s="905"/>
      <c r="S114" s="905"/>
      <c r="T114" s="905"/>
      <c r="U114" s="905"/>
      <c r="V114" s="905"/>
      <c r="W114" s="905"/>
      <c r="X114" s="905"/>
      <c r="Y114" s="905"/>
    </row>
    <row r="115" spans="2:25" s="903" customFormat="1" x14ac:dyDescent="0.25">
      <c r="B115" s="1024"/>
      <c r="P115" s="905"/>
      <c r="Q115" s="905"/>
      <c r="R115" s="905"/>
      <c r="S115" s="905"/>
      <c r="T115" s="905"/>
      <c r="U115" s="905"/>
      <c r="V115" s="905"/>
      <c r="W115" s="905"/>
      <c r="X115" s="905"/>
      <c r="Y115" s="905"/>
    </row>
    <row r="116" spans="2:25" s="903" customFormat="1" x14ac:dyDescent="0.25">
      <c r="B116" s="1024"/>
      <c r="P116" s="905"/>
      <c r="Q116" s="905"/>
      <c r="R116" s="905"/>
      <c r="S116" s="905"/>
      <c r="T116" s="905"/>
      <c r="U116" s="905"/>
      <c r="V116" s="905"/>
      <c r="W116" s="905"/>
      <c r="X116" s="905"/>
      <c r="Y116" s="905"/>
    </row>
    <row r="117" spans="2:25" s="903" customFormat="1" x14ac:dyDescent="0.25">
      <c r="B117" s="1024"/>
      <c r="P117" s="905"/>
      <c r="Q117" s="905"/>
      <c r="R117" s="905"/>
      <c r="S117" s="905"/>
      <c r="T117" s="905"/>
      <c r="U117" s="905"/>
      <c r="V117" s="905"/>
      <c r="W117" s="905"/>
      <c r="X117" s="905"/>
      <c r="Y117" s="905"/>
    </row>
    <row r="118" spans="2:25" s="903" customFormat="1" x14ac:dyDescent="0.25">
      <c r="B118" s="1024"/>
      <c r="P118" s="905"/>
      <c r="Q118" s="905"/>
      <c r="R118" s="905"/>
      <c r="S118" s="905"/>
      <c r="T118" s="905"/>
      <c r="U118" s="905"/>
      <c r="V118" s="905"/>
      <c r="W118" s="905"/>
      <c r="X118" s="905"/>
      <c r="Y118" s="905"/>
    </row>
    <row r="119" spans="2:25" s="903" customFormat="1" x14ac:dyDescent="0.25">
      <c r="B119" s="1024"/>
      <c r="P119" s="905"/>
      <c r="Q119" s="905"/>
      <c r="R119" s="905"/>
      <c r="S119" s="905"/>
      <c r="T119" s="905"/>
      <c r="U119" s="905"/>
      <c r="V119" s="905"/>
      <c r="W119" s="905"/>
      <c r="X119" s="905"/>
      <c r="Y119" s="905"/>
    </row>
    <row r="120" spans="2:25" s="903" customFormat="1" x14ac:dyDescent="0.25">
      <c r="B120" s="1024"/>
      <c r="P120" s="905"/>
      <c r="Q120" s="905"/>
      <c r="R120" s="905"/>
      <c r="S120" s="905"/>
      <c r="T120" s="905"/>
      <c r="U120" s="905"/>
      <c r="V120" s="905"/>
      <c r="W120" s="905"/>
      <c r="X120" s="905"/>
      <c r="Y120" s="905"/>
    </row>
    <row r="121" spans="2:25" s="903" customFormat="1" x14ac:dyDescent="0.25">
      <c r="B121" s="1024"/>
      <c r="P121" s="905"/>
      <c r="Q121" s="905"/>
      <c r="R121" s="905"/>
      <c r="S121" s="905"/>
      <c r="T121" s="905"/>
      <c r="U121" s="905"/>
      <c r="V121" s="905"/>
      <c r="W121" s="905"/>
      <c r="X121" s="905"/>
      <c r="Y121" s="905"/>
    </row>
    <row r="122" spans="2:25" s="903" customFormat="1" x14ac:dyDescent="0.25">
      <c r="B122" s="1024"/>
      <c r="P122" s="905"/>
      <c r="Q122" s="905"/>
      <c r="R122" s="905"/>
      <c r="S122" s="905"/>
      <c r="T122" s="905"/>
      <c r="U122" s="905"/>
      <c r="V122" s="905"/>
      <c r="W122" s="905"/>
      <c r="X122" s="905"/>
      <c r="Y122" s="905"/>
    </row>
    <row r="123" spans="2:25" s="903" customFormat="1" x14ac:dyDescent="0.25">
      <c r="B123" s="1024"/>
      <c r="P123" s="905"/>
      <c r="Q123" s="905"/>
      <c r="R123" s="905"/>
      <c r="S123" s="905"/>
      <c r="T123" s="905"/>
      <c r="U123" s="905"/>
      <c r="V123" s="905"/>
      <c r="W123" s="905"/>
      <c r="X123" s="905"/>
      <c r="Y123" s="905"/>
    </row>
    <row r="124" spans="2:25" s="903" customFormat="1" x14ac:dyDescent="0.25">
      <c r="B124" s="1024"/>
      <c r="P124" s="905"/>
      <c r="Q124" s="905"/>
      <c r="R124" s="905"/>
      <c r="S124" s="905"/>
      <c r="T124" s="905"/>
      <c r="U124" s="905"/>
      <c r="V124" s="905"/>
      <c r="W124" s="905"/>
      <c r="X124" s="905"/>
      <c r="Y124" s="905"/>
    </row>
    <row r="125" spans="2:25" s="903" customFormat="1" x14ac:dyDescent="0.25">
      <c r="B125" s="1024"/>
      <c r="P125" s="905"/>
      <c r="Q125" s="905"/>
      <c r="R125" s="905"/>
      <c r="S125" s="905"/>
      <c r="T125" s="905"/>
      <c r="U125" s="905"/>
      <c r="V125" s="905"/>
      <c r="W125" s="905"/>
      <c r="X125" s="905"/>
      <c r="Y125" s="905"/>
    </row>
    <row r="126" spans="2:25" s="903" customFormat="1" x14ac:dyDescent="0.25">
      <c r="B126" s="1024"/>
      <c r="P126" s="905"/>
      <c r="Q126" s="905"/>
      <c r="R126" s="905"/>
      <c r="S126" s="905"/>
      <c r="T126" s="905"/>
      <c r="U126" s="905"/>
      <c r="V126" s="905"/>
      <c r="W126" s="905"/>
      <c r="X126" s="905"/>
      <c r="Y126" s="905"/>
    </row>
    <row r="127" spans="2:25" s="903" customFormat="1" x14ac:dyDescent="0.25">
      <c r="B127" s="1024"/>
      <c r="P127" s="905"/>
      <c r="Q127" s="905"/>
      <c r="R127" s="905"/>
      <c r="S127" s="905"/>
      <c r="T127" s="905"/>
      <c r="U127" s="905"/>
      <c r="V127" s="905"/>
      <c r="W127" s="905"/>
      <c r="X127" s="905"/>
      <c r="Y127" s="905"/>
    </row>
    <row r="128" spans="2:25" s="903" customFormat="1" x14ac:dyDescent="0.25">
      <c r="B128" s="1024"/>
      <c r="P128" s="905"/>
      <c r="Q128" s="905"/>
      <c r="R128" s="905"/>
      <c r="S128" s="905"/>
      <c r="T128" s="905"/>
      <c r="U128" s="905"/>
      <c r="V128" s="905"/>
      <c r="W128" s="905"/>
      <c r="X128" s="905"/>
      <c r="Y128" s="905"/>
    </row>
    <row r="129" spans="2:25" s="903" customFormat="1" x14ac:dyDescent="0.25">
      <c r="B129" s="1024"/>
      <c r="P129" s="905"/>
      <c r="Q129" s="905"/>
      <c r="R129" s="905"/>
      <c r="S129" s="905"/>
      <c r="T129" s="905"/>
      <c r="U129" s="905"/>
      <c r="V129" s="905"/>
      <c r="W129" s="905"/>
      <c r="X129" s="905"/>
      <c r="Y129" s="905"/>
    </row>
    <row r="130" spans="2:25" s="903" customFormat="1" x14ac:dyDescent="0.25">
      <c r="B130" s="1024"/>
      <c r="P130" s="905"/>
      <c r="Q130" s="905"/>
      <c r="R130" s="905"/>
      <c r="S130" s="905"/>
      <c r="T130" s="905"/>
      <c r="U130" s="905"/>
      <c r="V130" s="905"/>
      <c r="W130" s="905"/>
      <c r="X130" s="905"/>
      <c r="Y130" s="905"/>
    </row>
    <row r="131" spans="2:25" s="903" customFormat="1" x14ac:dyDescent="0.25">
      <c r="B131" s="1024"/>
      <c r="P131" s="905"/>
      <c r="Q131" s="905"/>
      <c r="R131" s="905"/>
      <c r="S131" s="905"/>
      <c r="T131" s="905"/>
      <c r="U131" s="905"/>
      <c r="V131" s="905"/>
      <c r="W131" s="905"/>
      <c r="X131" s="905"/>
      <c r="Y131" s="905"/>
    </row>
    <row r="132" spans="2:25" s="903" customFormat="1" x14ac:dyDescent="0.25">
      <c r="B132" s="1024"/>
      <c r="P132" s="905"/>
      <c r="Q132" s="905"/>
      <c r="R132" s="905"/>
      <c r="S132" s="905"/>
      <c r="T132" s="905"/>
      <c r="U132" s="905"/>
      <c r="V132" s="905"/>
      <c r="W132" s="905"/>
      <c r="X132" s="905"/>
      <c r="Y132" s="905"/>
    </row>
    <row r="133" spans="2:25" s="903" customFormat="1" x14ac:dyDescent="0.25">
      <c r="B133" s="1024"/>
      <c r="P133" s="905"/>
      <c r="Q133" s="905"/>
      <c r="R133" s="905"/>
      <c r="S133" s="905"/>
      <c r="T133" s="905"/>
      <c r="U133" s="905"/>
      <c r="V133" s="905"/>
      <c r="W133" s="905"/>
      <c r="X133" s="905"/>
      <c r="Y133" s="905"/>
    </row>
    <row r="134" spans="2:25" s="903" customFormat="1" x14ac:dyDescent="0.25">
      <c r="B134" s="1024"/>
      <c r="P134" s="905"/>
      <c r="Q134" s="905"/>
      <c r="R134" s="905"/>
      <c r="S134" s="905"/>
      <c r="T134" s="905"/>
      <c r="U134" s="905"/>
      <c r="V134" s="905"/>
      <c r="W134" s="905"/>
      <c r="X134" s="905"/>
      <c r="Y134" s="905"/>
    </row>
    <row r="135" spans="2:25" s="903" customFormat="1" x14ac:dyDescent="0.25">
      <c r="B135" s="1024"/>
      <c r="P135" s="905"/>
      <c r="Q135" s="905"/>
      <c r="R135" s="905"/>
      <c r="S135" s="905"/>
      <c r="T135" s="905"/>
      <c r="U135" s="905"/>
      <c r="V135" s="905"/>
      <c r="W135" s="905"/>
      <c r="X135" s="905"/>
      <c r="Y135" s="905"/>
    </row>
    <row r="136" spans="2:25" s="903" customFormat="1" x14ac:dyDescent="0.25">
      <c r="B136" s="1024"/>
      <c r="P136" s="905"/>
      <c r="Q136" s="905"/>
      <c r="R136" s="905"/>
      <c r="S136" s="905"/>
      <c r="T136" s="905"/>
      <c r="U136" s="905"/>
      <c r="V136" s="905"/>
      <c r="W136" s="905"/>
      <c r="X136" s="905"/>
      <c r="Y136" s="905"/>
    </row>
    <row r="137" spans="2:25" s="903" customFormat="1" x14ac:dyDescent="0.25">
      <c r="B137" s="1024"/>
      <c r="P137" s="905"/>
      <c r="Q137" s="905"/>
      <c r="R137" s="905"/>
      <c r="S137" s="905"/>
      <c r="T137" s="905"/>
      <c r="U137" s="905"/>
      <c r="V137" s="905"/>
      <c r="W137" s="905"/>
      <c r="X137" s="905"/>
      <c r="Y137" s="905"/>
    </row>
    <row r="138" spans="2:25" s="903" customFormat="1" x14ac:dyDescent="0.25">
      <c r="B138" s="1024"/>
      <c r="P138" s="905"/>
      <c r="Q138" s="905"/>
      <c r="R138" s="905"/>
      <c r="S138" s="905"/>
      <c r="T138" s="905"/>
      <c r="U138" s="905"/>
      <c r="V138" s="905"/>
      <c r="W138" s="905"/>
      <c r="X138" s="905"/>
      <c r="Y138" s="905"/>
    </row>
    <row r="139" spans="2:25" s="903" customFormat="1" x14ac:dyDescent="0.25">
      <c r="B139" s="1024"/>
      <c r="P139" s="905"/>
      <c r="Q139" s="905"/>
      <c r="R139" s="905"/>
      <c r="S139" s="905"/>
      <c r="T139" s="905"/>
      <c r="U139" s="905"/>
      <c r="V139" s="905"/>
      <c r="W139" s="905"/>
      <c r="X139" s="905"/>
      <c r="Y139" s="905"/>
    </row>
    <row r="140" spans="2:25" s="903" customFormat="1" x14ac:dyDescent="0.25">
      <c r="B140" s="1024"/>
      <c r="P140" s="905"/>
      <c r="Q140" s="905"/>
      <c r="R140" s="905"/>
      <c r="S140" s="905"/>
      <c r="T140" s="905"/>
      <c r="U140" s="905"/>
      <c r="V140" s="905"/>
      <c r="W140" s="905"/>
      <c r="X140" s="905"/>
      <c r="Y140" s="905"/>
    </row>
    <row r="141" spans="2:25" s="903" customFormat="1" x14ac:dyDescent="0.25">
      <c r="B141" s="1024"/>
      <c r="P141" s="905"/>
      <c r="Q141" s="905"/>
      <c r="R141" s="905"/>
      <c r="S141" s="905"/>
      <c r="T141" s="905"/>
      <c r="U141" s="905"/>
      <c r="V141" s="905"/>
      <c r="W141" s="905"/>
      <c r="X141" s="905"/>
      <c r="Y141" s="905"/>
    </row>
    <row r="142" spans="2:25" s="903" customFormat="1" x14ac:dyDescent="0.25">
      <c r="B142" s="1024"/>
      <c r="P142" s="905"/>
      <c r="Q142" s="905"/>
      <c r="R142" s="905"/>
      <c r="S142" s="905"/>
      <c r="T142" s="905"/>
      <c r="U142" s="905"/>
      <c r="V142" s="905"/>
      <c r="W142" s="905"/>
      <c r="X142" s="905"/>
      <c r="Y142" s="905"/>
    </row>
    <row r="143" spans="2:25" s="903" customFormat="1" x14ac:dyDescent="0.25">
      <c r="B143" s="1024"/>
      <c r="P143" s="905"/>
      <c r="Q143" s="905"/>
      <c r="R143" s="905"/>
      <c r="S143" s="905"/>
      <c r="T143" s="905"/>
      <c r="U143" s="905"/>
      <c r="V143" s="905"/>
      <c r="W143" s="905"/>
      <c r="X143" s="905"/>
      <c r="Y143" s="905"/>
    </row>
    <row r="144" spans="2:25" s="903" customFormat="1" x14ac:dyDescent="0.25">
      <c r="B144" s="1024"/>
      <c r="P144" s="905"/>
      <c r="Q144" s="905"/>
      <c r="R144" s="905"/>
      <c r="S144" s="905"/>
      <c r="T144" s="905"/>
      <c r="U144" s="905"/>
      <c r="V144" s="905"/>
      <c r="W144" s="905"/>
      <c r="X144" s="905"/>
      <c r="Y144" s="905"/>
    </row>
    <row r="145" spans="2:25" s="903" customFormat="1" x14ac:dyDescent="0.25">
      <c r="B145" s="1024"/>
      <c r="P145" s="905"/>
      <c r="Q145" s="905"/>
      <c r="R145" s="905"/>
      <c r="S145" s="905"/>
      <c r="T145" s="905"/>
      <c r="U145" s="905"/>
      <c r="V145" s="905"/>
      <c r="W145" s="905"/>
      <c r="X145" s="905"/>
      <c r="Y145" s="905"/>
    </row>
    <row r="146" spans="2:25" s="903" customFormat="1" x14ac:dyDescent="0.25">
      <c r="B146" s="1024"/>
      <c r="P146" s="905"/>
      <c r="Q146" s="905"/>
      <c r="R146" s="905"/>
      <c r="S146" s="905"/>
      <c r="T146" s="905"/>
      <c r="U146" s="905"/>
      <c r="V146" s="905"/>
      <c r="W146" s="905"/>
      <c r="X146" s="905"/>
      <c r="Y146" s="905"/>
    </row>
    <row r="147" spans="2:25" s="903" customFormat="1" x14ac:dyDescent="0.25">
      <c r="B147" s="1024"/>
      <c r="P147" s="905"/>
      <c r="Q147" s="905"/>
      <c r="R147" s="905"/>
      <c r="S147" s="905"/>
      <c r="T147" s="905"/>
      <c r="U147" s="905"/>
      <c r="V147" s="905"/>
      <c r="W147" s="905"/>
      <c r="X147" s="905"/>
      <c r="Y147" s="905"/>
    </row>
    <row r="148" spans="2:25" s="903" customFormat="1" x14ac:dyDescent="0.25">
      <c r="B148" s="1024"/>
      <c r="P148" s="905"/>
      <c r="Q148" s="905"/>
      <c r="R148" s="905"/>
      <c r="S148" s="905"/>
      <c r="T148" s="905"/>
      <c r="U148" s="905"/>
      <c r="V148" s="905"/>
      <c r="W148" s="905"/>
      <c r="X148" s="905"/>
      <c r="Y148" s="905"/>
    </row>
    <row r="149" spans="2:25" s="903" customFormat="1" x14ac:dyDescent="0.25">
      <c r="B149" s="1024"/>
      <c r="P149" s="905"/>
      <c r="Q149" s="905"/>
      <c r="R149" s="905"/>
      <c r="S149" s="905"/>
      <c r="T149" s="905"/>
      <c r="U149" s="905"/>
      <c r="V149" s="905"/>
      <c r="W149" s="905"/>
      <c r="X149" s="905"/>
      <c r="Y149" s="905"/>
    </row>
    <row r="150" spans="2:25" s="903" customFormat="1" x14ac:dyDescent="0.25">
      <c r="B150" s="1024"/>
      <c r="P150" s="905"/>
      <c r="Q150" s="905"/>
      <c r="R150" s="905"/>
      <c r="S150" s="905"/>
      <c r="T150" s="905"/>
      <c r="U150" s="905"/>
      <c r="V150" s="905"/>
      <c r="W150" s="905"/>
      <c r="X150" s="905"/>
      <c r="Y150" s="905"/>
    </row>
    <row r="151" spans="2:25" s="903" customFormat="1" x14ac:dyDescent="0.25">
      <c r="B151" s="1024"/>
      <c r="P151" s="905"/>
      <c r="Q151" s="905"/>
      <c r="R151" s="905"/>
      <c r="S151" s="905"/>
      <c r="T151" s="905"/>
      <c r="U151" s="905"/>
      <c r="V151" s="905"/>
      <c r="W151" s="905"/>
      <c r="X151" s="905"/>
      <c r="Y151" s="905"/>
    </row>
    <row r="152" spans="2:25" s="903" customFormat="1" x14ac:dyDescent="0.25">
      <c r="B152" s="1024"/>
      <c r="P152" s="905"/>
      <c r="Q152" s="905"/>
      <c r="R152" s="905"/>
      <c r="S152" s="905"/>
      <c r="T152" s="905"/>
      <c r="U152" s="905"/>
      <c r="V152" s="905"/>
      <c r="W152" s="905"/>
      <c r="X152" s="905"/>
      <c r="Y152" s="905"/>
    </row>
    <row r="153" spans="2:25" s="903" customFormat="1" x14ac:dyDescent="0.25">
      <c r="B153" s="1024"/>
      <c r="P153" s="905"/>
      <c r="Q153" s="905"/>
      <c r="R153" s="905"/>
      <c r="S153" s="905"/>
      <c r="T153" s="905"/>
      <c r="U153" s="905"/>
      <c r="V153" s="905"/>
      <c r="W153" s="905"/>
      <c r="X153" s="905"/>
      <c r="Y153" s="905"/>
    </row>
    <row r="154" spans="2:25" s="903" customFormat="1" x14ac:dyDescent="0.25">
      <c r="B154" s="1024"/>
      <c r="P154" s="905"/>
      <c r="Q154" s="905"/>
      <c r="R154" s="905"/>
      <c r="S154" s="905"/>
      <c r="T154" s="905"/>
      <c r="U154" s="905"/>
      <c r="V154" s="905"/>
      <c r="W154" s="905"/>
      <c r="X154" s="905"/>
      <c r="Y154" s="905"/>
    </row>
    <row r="155" spans="2:25" s="903" customFormat="1" x14ac:dyDescent="0.25">
      <c r="B155" s="1024"/>
      <c r="P155" s="905"/>
      <c r="Q155" s="905"/>
      <c r="R155" s="905"/>
      <c r="S155" s="905"/>
      <c r="T155" s="905"/>
      <c r="U155" s="905"/>
      <c r="V155" s="905"/>
      <c r="W155" s="905"/>
      <c r="X155" s="905"/>
      <c r="Y155" s="905"/>
    </row>
    <row r="156" spans="2:25" s="903" customFormat="1" x14ac:dyDescent="0.25">
      <c r="B156" s="1024"/>
      <c r="P156" s="905"/>
      <c r="Q156" s="905"/>
      <c r="R156" s="905"/>
      <c r="S156" s="905"/>
      <c r="T156" s="905"/>
      <c r="U156" s="905"/>
      <c r="V156" s="905"/>
      <c r="W156" s="905"/>
      <c r="X156" s="905"/>
      <c r="Y156" s="905"/>
    </row>
    <row r="157" spans="2:25" s="903" customFormat="1" x14ac:dyDescent="0.25">
      <c r="B157" s="1024"/>
      <c r="P157" s="905"/>
      <c r="Q157" s="905"/>
      <c r="R157" s="905"/>
      <c r="S157" s="905"/>
      <c r="T157" s="905"/>
      <c r="U157" s="905"/>
      <c r="V157" s="905"/>
      <c r="W157" s="905"/>
      <c r="X157" s="905"/>
      <c r="Y157" s="905"/>
    </row>
  </sheetData>
  <mergeCells count="3">
    <mergeCell ref="B1:D1"/>
    <mergeCell ref="F1:I1"/>
    <mergeCell ref="A3:B3"/>
  </mergeCells>
  <dataValidations count="3">
    <dataValidation type="list" allowBlank="1" showInputMessage="1" showErrorMessage="1" sqref="A17">
      <formula1>lit</formula1>
    </dataValidation>
    <dataValidation type="list" allowBlank="1" showInputMessage="1" showErrorMessage="1" sqref="B21">
      <formula1>ouinon</formula1>
    </dataValidation>
    <dataValidation type="list" allowBlank="1" showInputMessage="1" showErrorMessage="1" sqref="E8">
      <formula1>litiere</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37</vt:i4>
      </vt:variant>
    </vt:vector>
  </HeadingPairs>
  <TitlesOfParts>
    <vt:vector size="51" baseType="lpstr">
      <vt:lpstr>Feuille saisie commune</vt:lpstr>
      <vt:lpstr>Saisie 2_bovins</vt:lpstr>
      <vt:lpstr>Calculs_bovins</vt:lpstr>
      <vt:lpstr>param_bovins</vt:lpstr>
      <vt:lpstr>Porc (Effectif détaillé)</vt:lpstr>
      <vt:lpstr>Porc (Effluents)</vt:lpstr>
      <vt:lpstr>Porc (Aliments)</vt:lpstr>
      <vt:lpstr>Param_porcs</vt:lpstr>
      <vt:lpstr>Simple Avi</vt:lpstr>
      <vt:lpstr>Effectif Avi</vt:lpstr>
      <vt:lpstr>Alim Avi</vt:lpstr>
      <vt:lpstr>Excretion Avi</vt:lpstr>
      <vt:lpstr>Résultats</vt:lpstr>
      <vt:lpstr>Param_volailles</vt:lpstr>
      <vt:lpstr>Al</vt:lpstr>
      <vt:lpstr>BRS</vt:lpstr>
      <vt:lpstr>Catégorie_animaux</vt:lpstr>
      <vt:lpstr>Catégorie_porc</vt:lpstr>
      <vt:lpstr>Couverture</vt:lpstr>
      <vt:lpstr>Dil_lisier</vt:lpstr>
      <vt:lpstr>e</vt:lpstr>
      <vt:lpstr>especes</vt:lpstr>
      <vt:lpstr>Fo</vt:lpstr>
      <vt:lpstr>Fosse_couverture</vt:lpstr>
      <vt:lpstr>Fosses_couverture</vt:lpstr>
      <vt:lpstr>Fourrage_E</vt:lpstr>
      <vt:lpstr>Fourrage_G</vt:lpstr>
      <vt:lpstr>Fourrage_VA</vt:lpstr>
      <vt:lpstr>Fu</vt:lpstr>
      <vt:lpstr>lit</vt:lpstr>
      <vt:lpstr>Mode_logement</vt:lpstr>
      <vt:lpstr>Modes_logements</vt:lpstr>
      <vt:lpstr>Modes_logts</vt:lpstr>
      <vt:lpstr>param_bovins!OLE_LINK1</vt:lpstr>
      <vt:lpstr>ouinon</vt:lpstr>
      <vt:lpstr>Ouvrages_stock</vt:lpstr>
      <vt:lpstr>Ouvrages_stock_autre</vt:lpstr>
      <vt:lpstr>Pascal</vt:lpstr>
      <vt:lpstr>Période</vt:lpstr>
      <vt:lpstr>Periode_velage</vt:lpstr>
      <vt:lpstr>Période1</vt:lpstr>
      <vt:lpstr>phase</vt:lpstr>
      <vt:lpstr>pluie</vt:lpstr>
      <vt:lpstr>Pluviométrie</vt:lpstr>
      <vt:lpstr>prod</vt:lpstr>
      <vt:lpstr>PV_E</vt:lpstr>
      <vt:lpstr>Qual_lavage</vt:lpstr>
      <vt:lpstr>rien</vt:lpstr>
      <vt:lpstr>stock</vt:lpstr>
      <vt:lpstr>u</vt:lpstr>
      <vt:lpstr>Volume_connu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2014-07-02T14:49:17Z</dcterms:modified>
</cp:coreProperties>
</file>